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3290" activeTab="2"/>
  </bookViews>
  <sheets>
    <sheet name="Soupis" sheetId="1" r:id="rId1"/>
    <sheet name="Sumář P+V+F " sheetId="2" r:id="rId2"/>
    <sheet name="příjmy" sheetId="3" r:id="rId3"/>
    <sheet name="OVS" sheetId="4" r:id="rId4"/>
    <sheet name="sumář PO" sheetId="5" r:id="rId5"/>
    <sheet name="Finacování" sheetId="6" r:id="rId6"/>
    <sheet name="FRB P" sheetId="7" r:id="rId7"/>
    <sheet name="FRB K" sheetId="8" r:id="rId8"/>
    <sheet name="soc. fond" sheetId="9" r:id="rId9"/>
    <sheet name="Tab. 5-soc. práv ochrana dětí " sheetId="10" r:id="rId10"/>
    <sheet name="5a-soc. práv. ochrana dětí" sheetId="11" r:id="rId11"/>
    <sheet name="příloha 9 část A-hasiči" sheetId="12" r:id="rId12"/>
    <sheet name="příloha 9 část A  MF ČR" sheetId="13" r:id="rId13"/>
    <sheet name="příloha 9 část A MK ČR" sheetId="14" r:id="rId14"/>
    <sheet name="příloha 9 část A MPO ČR" sheetId="15" r:id="rId15"/>
    <sheet name="příloha 9 část A  MPSV ČR" sheetId="16" r:id="rId16"/>
    <sheet name="příloha 9 část A MPSV ČR" sheetId="17" r:id="rId17"/>
    <sheet name="příloha 9 část A  MV ČR" sheetId="18" r:id="rId18"/>
    <sheet name="příloha 9 část A  MZe ČR" sheetId="19" r:id="rId19"/>
    <sheet name="příloha 9 část A  MŽP ČR" sheetId="20" r:id="rId20"/>
    <sheet name="příloha 16 Národní fond" sheetId="21" r:id="rId21"/>
    <sheet name="1b SZU" sheetId="22" r:id="rId22"/>
    <sheet name="1d SZU" sheetId="23" r:id="rId23"/>
    <sheet name="A stav. inv." sheetId="24" r:id="rId24"/>
    <sheet name="B projekt. dok." sheetId="25" r:id="rId25"/>
    <sheet name="C,D,E,G nest. inv,OKR,OEP" sheetId="26" r:id="rId26"/>
    <sheet name="F MOVO" sheetId="27" r:id="rId27"/>
    <sheet name="Rekapit." sheetId="28" r:id="rId28"/>
  </sheets>
  <externalReferences>
    <externalReference r:id="rId31"/>
    <externalReference r:id="rId32"/>
    <externalReference r:id="rId33"/>
    <externalReference r:id="rId34"/>
    <externalReference r:id="rId35"/>
  </externalReferences>
  <definedNames>
    <definedName name="_xlnm.Print_Titles" localSheetId="23">'A stav. inv.'!$1:$1</definedName>
    <definedName name="_xlnm.Print_Titles" localSheetId="24">'B projekt. dok.'!$1:$1</definedName>
    <definedName name="_xlnm.Print_Titles" localSheetId="25">'C,D,E,G nest. inv,OKR,OEP'!$1:$1</definedName>
    <definedName name="_xlnm.Print_Titles" localSheetId="3">'OVS'!$1:$1</definedName>
    <definedName name="_xlnm.Print_Titles" localSheetId="2">'příjmy'!$1:$1</definedName>
    <definedName name="_xlnm.Print_Area" localSheetId="21">'1b SZU'!$A$1:$G$30</definedName>
    <definedName name="_xlnm.Print_Area" localSheetId="22">'1d SZU'!$A$1:$H$30</definedName>
    <definedName name="_xlnm.Print_Area" localSheetId="23">'A stav. inv.'!$B$1:$T$89</definedName>
    <definedName name="_xlnm.Print_Area" localSheetId="24">'B projekt. dok.'!$A$1:$S$83</definedName>
    <definedName name="_xlnm.Print_Area" localSheetId="25">'C,D,E,G nest. inv,OKR,OEP'!$B$1:$T$88</definedName>
    <definedName name="_xlnm.Print_Area" localSheetId="26">'F MOVO'!$A$2:$O$14</definedName>
    <definedName name="_xlnm.Print_Area" localSheetId="7">'FRB K'!$A$1:$I$23</definedName>
    <definedName name="_xlnm.Print_Area" localSheetId="6">'FRB P'!$A$1:$I$24</definedName>
    <definedName name="_xlnm.Print_Area" localSheetId="3">'OVS'!$A$1:$L$63</definedName>
    <definedName name="_xlnm.Print_Area" localSheetId="2">'příjmy'!$A$1:$I$171</definedName>
    <definedName name="_xlnm.Print_Area" localSheetId="20">'příloha 16 Národní fond'!$A$1:$E$36</definedName>
    <definedName name="_xlnm.Print_Area" localSheetId="12">'příloha 9 část A  MF ČR'!$A$1:$H$48</definedName>
    <definedName name="_xlnm.Print_Area" localSheetId="15">'příloha 9 část A  MPSV ČR'!$A$1:$H$48</definedName>
    <definedName name="_xlnm.Print_Area" localSheetId="17">'příloha 9 část A  MV ČR'!$A$1:$H$48</definedName>
    <definedName name="_xlnm.Print_Area" localSheetId="18">'příloha 9 část A  MZe ČR'!$A$1:$H$48</definedName>
    <definedName name="_xlnm.Print_Area" localSheetId="19">'příloha 9 část A  MŽP ČR'!$A$1:$H$48</definedName>
    <definedName name="_xlnm.Print_Area" localSheetId="13">'příloha 9 část A MK ČR'!$A$1:$H$48</definedName>
    <definedName name="_xlnm.Print_Area" localSheetId="14">'příloha 9 část A MPO ČR'!$A$1:$H$48</definedName>
    <definedName name="_xlnm.Print_Area" localSheetId="16">'příloha 9 část A MPSV ČR'!$A$1:$H$48</definedName>
    <definedName name="_xlnm.Print_Area" localSheetId="11">'příloha 9 část A-hasiči'!$A$1:$H$48</definedName>
    <definedName name="_xlnm.Print_Area" localSheetId="27">'Rekapit.'!$B$1:$N$13</definedName>
    <definedName name="_xlnm.Print_Area" localSheetId="8">'soc. fond'!$A$1:$E$36</definedName>
    <definedName name="_xlnm.Print_Area" localSheetId="1">'Sumář P+V+F '!$A$1:$I$53</definedName>
    <definedName name="Odložené_zahájení">#REF!</definedName>
    <definedName name="Rozestavěné_stavby">#REF!</definedName>
    <definedName name="Soupis98">#REF!</definedName>
    <definedName name="Sumář99_Dotaz_plán99">#REF!</definedName>
    <definedName name="Sumář99_Dotaz98">#REF!</definedName>
  </definedNames>
  <calcPr fullCalcOnLoad="1"/>
</workbook>
</file>

<file path=xl/comments25.xml><?xml version="1.0" encoding="utf-8"?>
<comments xmlns="http://schemas.openxmlformats.org/spreadsheetml/2006/main">
  <authors>
    <author>kotja</author>
  </authors>
  <commentList>
    <comment ref="A1" authorId="0">
      <text>
        <r>
          <rPr>
            <b/>
            <sz val="8"/>
            <rFont val="Tahoma"/>
            <family val="0"/>
          </rPr>
          <t>kotja:</t>
        </r>
        <r>
          <rPr>
            <sz val="8"/>
            <rFont val="Tahoma"/>
            <family val="0"/>
          </rPr>
          <t xml:space="preserve">
</t>
        </r>
      </text>
    </comment>
  </commentList>
</comments>
</file>

<file path=xl/sharedStrings.xml><?xml version="1.0" encoding="utf-8"?>
<sst xmlns="http://schemas.openxmlformats.org/spreadsheetml/2006/main" count="1893" uniqueCount="1006">
  <si>
    <t>Ochrana stokové sítě proti povodním - I. etapa</t>
  </si>
  <si>
    <t>Lužická - parkoviště</t>
  </si>
  <si>
    <t>Moravská cyklotrasa na území ORP Olomouc, 1. část</t>
  </si>
  <si>
    <t>Mošnerova - rekostrukce komunikace</t>
  </si>
  <si>
    <t>MŠ Dělnická - energetická opatření</t>
  </si>
  <si>
    <t>MŠ Bieblova  - energetická opatření</t>
  </si>
  <si>
    <t>MŠ Jílová - energetická opatření</t>
  </si>
  <si>
    <t>MŠ I. Herrmanna - energetické opatření</t>
  </si>
  <si>
    <t>MŠ Lužická  - energetická opatření</t>
  </si>
  <si>
    <t>MŠ Wolkerova - energetické opatření</t>
  </si>
  <si>
    <t xml:space="preserve">v tom: </t>
  </si>
  <si>
    <t>ÚZ 36517871</t>
  </si>
  <si>
    <t>Pořízení změn regulačního plánu MPR</t>
  </si>
  <si>
    <t>Pořízení změn ÚPnSÚ</t>
  </si>
  <si>
    <t xml:space="preserve">Projektová dokumentace </t>
  </si>
  <si>
    <t>Studie regenerace a revitalizace sídliště - část Povel</t>
  </si>
  <si>
    <t>E - ostatní nákup dlouhodobého majetku - realizuje odbor evropských projektů</t>
  </si>
  <si>
    <t>E - ostatní nákup dlouhodobého nehmotného majetku - realizuje odbor evropských projektů</t>
  </si>
  <si>
    <t xml:space="preserve">Projekty </t>
  </si>
  <si>
    <t>G - příspěvky a platby jiným subjektům</t>
  </si>
  <si>
    <t xml:space="preserve">Billard club Olomouc, o. s. </t>
  </si>
  <si>
    <t>Noe s. r. o. - příspěvek na přístupovou rampu restaurace Fontána</t>
  </si>
  <si>
    <t>realizuje odbor sociálních služeb a zdravotnictví</t>
  </si>
  <si>
    <t>TJ Lokomotiva Olomouc - příspěvek na rekonstrukci zázemí</t>
  </si>
  <si>
    <t>FZŠ a MŠ Holečkova - příspěvek na pořízení nového kotle</t>
  </si>
  <si>
    <t>FZŠ a MŠ Holečkova - pořízení vodovodní přípojky</t>
  </si>
  <si>
    <t>FZŠ a MŠ Holečkova - úpravy prostor MŠ</t>
  </si>
  <si>
    <t>ZŠ a MŠ Dr. Nedvěda - příspěvek na zastřešení rampy</t>
  </si>
  <si>
    <t>Chválkovické Paseky - parkoviště</t>
  </si>
  <si>
    <t>Informační a orientační systém města Olomouce</t>
  </si>
  <si>
    <t>Informační centrum Olomouc - rekonstrukce, interiér</t>
  </si>
  <si>
    <t>Jeremenkova - přednádražní prostor - IV.etapa</t>
  </si>
  <si>
    <t>ÚZ 38187501</t>
  </si>
  <si>
    <t>ÚZ 38587505</t>
  </si>
  <si>
    <t>Kaštanova - dětské hřiště</t>
  </si>
  <si>
    <t>Kateřinská 23 - rekonstrukce vchodu</t>
  </si>
  <si>
    <t>realizuje Městská policie</t>
  </si>
  <si>
    <t>Kateřinská 23 - stavební úpravy</t>
  </si>
  <si>
    <t>Keplerova  - chodník pro pěší</t>
  </si>
  <si>
    <t>Korunní pevnůstka - inženýrské sítě</t>
  </si>
  <si>
    <t>Kožušanská - stavební úpravy</t>
  </si>
  <si>
    <t>Krakovská - rekonstrukce komunikace a inž. sítí</t>
  </si>
  <si>
    <t>Lošovská ul. - rozšíření VO</t>
  </si>
  <si>
    <t>Lošov, Svolinského - chodník a autobusová točna</t>
  </si>
  <si>
    <t>Lošov, Svolinského - chodník a autobusová zastávka</t>
  </si>
  <si>
    <t xml:space="preserve">Máchalova ul. - rek. komunikace a inž. sítí </t>
  </si>
  <si>
    <t>Malá parkoviště</t>
  </si>
  <si>
    <t>Malinovského - rekonstrukce komunikace a inž. sítí</t>
  </si>
  <si>
    <t>MŠ Bieblova - dětské hřiště</t>
  </si>
  <si>
    <t>MŠ Dělnická - vstup</t>
  </si>
  <si>
    <t>Na Zábraní - rek. komunikace</t>
  </si>
  <si>
    <t>Obnova mobiliáře a cestní sítě v olom. historických sadech - Smetanovy sady</t>
  </si>
  <si>
    <t>Ochranná mříž Slovenská ul.</t>
  </si>
  <si>
    <t>realizuje odbor vnějších vztahů a informací</t>
  </si>
  <si>
    <t>Okružní, směr centrum Haná zastávka MHD</t>
  </si>
  <si>
    <t>Okružní, směr město zastávka MHD</t>
  </si>
  <si>
    <t>Olomouc - rekonstrukce a dobudování stokové sítě II.část</t>
  </si>
  <si>
    <t xml:space="preserve">Pasteurova - přechod pro chodce </t>
  </si>
  <si>
    <t>Poděbrady, Chomoutov lávka</t>
  </si>
  <si>
    <t>Průchodní ul. - rekonstrukce komunikace a inž. sítí</t>
  </si>
  <si>
    <t>Přemístění zastávkových panelů MHD</t>
  </si>
  <si>
    <t>Přichystalova ulice - obratiště a rekonstrukce komunikace</t>
  </si>
  <si>
    <t>Restaurace Fontána - venkovní plochy</t>
  </si>
  <si>
    <t>Schweitzerova - chodník, přechod</t>
  </si>
  <si>
    <t>Skupova - rozšíření parkovacích stání</t>
  </si>
  <si>
    <t>Štítného ul. - rekonstrukce komunikace</t>
  </si>
  <si>
    <t xml:space="preserve">  </t>
  </si>
  <si>
    <t>Upravený rozpočet                        k 28.12.2010</t>
  </si>
  <si>
    <t>Čerpání                           k 31.12.2010</t>
  </si>
  <si>
    <t>Čerpání                    k 31.12.2010</t>
  </si>
  <si>
    <t>Čerpání                     k 31.12.2010</t>
  </si>
  <si>
    <r>
      <t>ÚZ 98216</t>
    </r>
    <r>
      <rPr>
        <sz val="8"/>
        <rFont val="Arial Narrow"/>
        <family val="2"/>
      </rPr>
      <t xml:space="preserve"> MF ČR na sociálně právní ochranu dětí</t>
    </r>
  </si>
  <si>
    <r>
      <t xml:space="preserve">ÚZ98071 </t>
    </r>
    <r>
      <rPr>
        <sz val="8"/>
        <rFont val="Arial Narrow"/>
        <family val="2"/>
      </rPr>
      <t>MF ČR na volby do Poslanecké sněmovny Parlamentu ČR</t>
    </r>
  </si>
  <si>
    <r>
      <t xml:space="preserve">ÚZ 98187 </t>
    </r>
    <r>
      <rPr>
        <sz val="8"/>
        <rFont val="Arial Narrow"/>
        <family val="2"/>
      </rPr>
      <t>MF ČR na volby do zastupitelstev ÚSC a Senátu</t>
    </r>
  </si>
  <si>
    <r>
      <t>ÚZ 98005 MF ČR</t>
    </r>
    <r>
      <rPr>
        <sz val="8"/>
        <rFont val="Arial Narrow"/>
        <family val="2"/>
      </rPr>
      <t xml:space="preserve"> na přípravu a provedení sčítání lidu a domů v r. 2011</t>
    </r>
  </si>
  <si>
    <r>
      <t>ÚZ 53190001</t>
    </r>
    <r>
      <rPr>
        <sz val="8"/>
        <rFont val="Arial Narrow"/>
        <family val="2"/>
      </rPr>
      <t xml:space="preserve"> SFŽP ČR na projekt "Ošetření dřevin v historických parcích" - zvláštní účet</t>
    </r>
  </si>
  <si>
    <r>
      <t>ÚZ 07121</t>
    </r>
    <r>
      <rPr>
        <sz val="8"/>
        <rFont val="Arial Narrow"/>
        <family val="2"/>
      </rPr>
      <t xml:space="preserve"> MO ČR na opravu válečného hřbitova obětí 1. světové války (limitní účet)</t>
    </r>
  </si>
  <si>
    <r>
      <t xml:space="preserve">ÚZ 13235 </t>
    </r>
    <r>
      <rPr>
        <sz val="8"/>
        <rFont val="Arial Narrow"/>
        <family val="2"/>
      </rPr>
      <t>MPSV ČR na výplatu příspěvku na péči oprávněným osobám</t>
    </r>
  </si>
  <si>
    <r>
      <t xml:space="preserve">ÚZ 13306 </t>
    </r>
    <r>
      <rPr>
        <sz val="8"/>
        <rFont val="Arial Narrow"/>
        <family val="2"/>
      </rPr>
      <t>MPSV ČR na dávky sociální péče pro těžce zdravotně postižené a na dávky pomoci v hm. nouzi</t>
    </r>
  </si>
  <si>
    <r>
      <t>ÚZ 13305</t>
    </r>
    <r>
      <rPr>
        <sz val="8"/>
        <rFont val="Arial Narrow"/>
        <family val="2"/>
      </rPr>
      <t xml:space="preserve"> MPSV ČR na poskytování sociálních služeb</t>
    </r>
  </si>
  <si>
    <r>
      <t xml:space="preserve">ÚZ 34001 </t>
    </r>
    <r>
      <rPr>
        <sz val="8"/>
        <rFont val="Arial Narrow"/>
        <family val="2"/>
      </rPr>
      <t xml:space="preserve">MK ČR na projekt "Management plan památky UNESCO - Sloup Nejsvětější Trojice v Olomouci" </t>
    </r>
  </si>
  <si>
    <r>
      <t xml:space="preserve">ÚZ 34070 </t>
    </r>
    <r>
      <rPr>
        <sz val="8"/>
        <rFont val="Arial Narrow"/>
        <family val="2"/>
      </rPr>
      <t>MK ČR na projekt "Z. Fibich - Hippodamie"</t>
    </r>
  </si>
  <si>
    <r>
      <t>ÚZ 34352</t>
    </r>
    <r>
      <rPr>
        <sz val="8"/>
        <rFont val="Arial Narrow"/>
        <family val="2"/>
      </rPr>
      <t xml:space="preserve"> MK ČR: 570 tis. Kč pro Moravskou filharmonii; 3.600 tis. Kč pro Moravské divadlo</t>
    </r>
  </si>
  <si>
    <r>
      <t>ÚZ 34054</t>
    </r>
    <r>
      <rPr>
        <sz val="8"/>
        <rFont val="Arial Narrow"/>
        <family val="2"/>
      </rPr>
      <t xml:space="preserve"> MK ČR na Program regenerace MPR a MPZ</t>
    </r>
  </si>
  <si>
    <r>
      <t xml:space="preserve">ÚZ 29004 </t>
    </r>
    <r>
      <rPr>
        <sz val="8"/>
        <rFont val="Arial Narrow"/>
        <family val="2"/>
      </rPr>
      <t>MZe ČR na výsadbu minimálního podílu zpevňujících dřevin</t>
    </r>
  </si>
  <si>
    <r>
      <t>ÚZ 29008</t>
    </r>
    <r>
      <rPr>
        <sz val="8"/>
        <rFont val="Arial Narrow"/>
        <family val="2"/>
      </rPr>
      <t xml:space="preserve"> MZe ČR na činnost odborného lesního hospodáře</t>
    </r>
  </si>
  <si>
    <r>
      <t>ÚZ 14005</t>
    </r>
    <r>
      <rPr>
        <sz val="8"/>
        <rFont val="Arial Narrow"/>
        <family val="2"/>
      </rPr>
      <t xml:space="preserve"> MV ČR na "Program prevence kriminality"</t>
    </r>
  </si>
  <si>
    <r>
      <t>ÚZ 33113234</t>
    </r>
    <r>
      <rPr>
        <sz val="8"/>
        <rFont val="Arial Narrow"/>
        <family val="2"/>
      </rPr>
      <t xml:space="preserve"> MPSV ČR na program "Lidské zdroje a zaměstnanost"</t>
    </r>
  </si>
  <si>
    <t>MŠ Lužická - energetická opatření</t>
  </si>
  <si>
    <t>MŠ Bieblova - energetická opatření</t>
  </si>
  <si>
    <t>MŠ Wolkerova - energetická opatření</t>
  </si>
  <si>
    <t>Budova MMOl, Hálkova 20 - energetická opatření</t>
  </si>
  <si>
    <t>Kateřinská č. 23 - klimatizace</t>
  </si>
  <si>
    <t>Kapitálový vstup SMOl - SK Sigma Olomouc, a. s.</t>
  </si>
  <si>
    <r>
      <t>5161-</t>
    </r>
    <r>
      <rPr>
        <sz val="8"/>
        <rFont val="Arial CE"/>
        <family val="2"/>
      </rPr>
      <t>služby pošt</t>
    </r>
  </si>
  <si>
    <r>
      <t>5163-</t>
    </r>
    <r>
      <rPr>
        <sz val="8"/>
        <rFont val="Arial CE"/>
        <family val="2"/>
      </rPr>
      <t>služby peněžních ústavů</t>
    </r>
  </si>
  <si>
    <r>
      <t>bez ÚZ</t>
    </r>
    <r>
      <rPr>
        <sz val="8"/>
        <rFont val="Arial Narrow"/>
        <family val="2"/>
      </rPr>
      <t xml:space="preserve"> na likvidaci kalamitního výskytu komárů na území SMOl</t>
    </r>
  </si>
  <si>
    <r>
      <t xml:space="preserve">ÚZ 00327, ZJ 028 </t>
    </r>
    <r>
      <rPr>
        <sz val="8"/>
        <rFont val="Arial Narrow"/>
        <family val="2"/>
      </rPr>
      <t xml:space="preserve"> Moravskoslezský kraj pro SLMO na hospodaření v lesích</t>
    </r>
  </si>
  <si>
    <t>Povel - obytná zóna - revitalizace sídliště</t>
  </si>
  <si>
    <t>Zabezpečení kanalizace Novosadský dvůr</t>
  </si>
  <si>
    <t>Projektor Panasonic PT F3000</t>
  </si>
  <si>
    <t xml:space="preserve">výdaje účelových fondů (FRB,                    soc. fondy, FRR) </t>
  </si>
  <si>
    <t>70 - příspěvkové organizace</t>
  </si>
  <si>
    <t>vrácená DPH</t>
  </si>
  <si>
    <t>očekávané vratky st. dotací</t>
  </si>
  <si>
    <t>převody na depozitní účet</t>
  </si>
  <si>
    <t>Celkem provozní výdaje</t>
  </si>
  <si>
    <t>investice</t>
  </si>
  <si>
    <t>investiční akce EU - služby pen. ústavů</t>
  </si>
  <si>
    <t>Celkem investice</t>
  </si>
  <si>
    <t>CELKEM VÝDAJE  třídy 5 + třídy 6</t>
  </si>
  <si>
    <t>Třída 8 - financování</t>
  </si>
  <si>
    <t>krátkodobé přijaté půjčené prostředky</t>
  </si>
  <si>
    <t>obnovení revolvingového úvěru u KB, a. s. na období 2009 - 2010  (IP)</t>
  </si>
  <si>
    <t>dlouhodobé přijaté půjčené prostředky</t>
  </si>
  <si>
    <t xml:space="preserve">dlouhodobý úvěr od EIB </t>
  </si>
  <si>
    <t>uhrazené splátky krátkodobých přij. půjček</t>
  </si>
  <si>
    <t>splátka revolvingového úvěru u KB, a. s. za období 2008 - 2009</t>
  </si>
  <si>
    <t>uhrazené splátky dlouhodobých přij. půjček</t>
  </si>
  <si>
    <t xml:space="preserve">20 mil. Kč ČS, a. s.; 35 mil. Kč KB, a. s.; 873 tis. Kč MF ČR - kanal. Holice; 11.765 mil. Kč MOVO, a. s.; 2.436 tis. Kč SFŽP ( Fond soudrž. ISPA); 25 mil. Kč Kommunalkredit Austria AG </t>
  </si>
  <si>
    <t>změna stavu prostředků na bank. účtech</t>
  </si>
  <si>
    <t>FRB - zapojení disponibilního zůstatku účel. fondu</t>
  </si>
  <si>
    <t>nerealizované kurzové rozdíly</t>
  </si>
  <si>
    <t>CELKEM FINANCOVÁNÍ - třída 8</t>
  </si>
  <si>
    <t>PŘÍJMY - třída 1 až třída 4</t>
  </si>
  <si>
    <t>REKAPITULACE</t>
  </si>
  <si>
    <t>PŘÍJMY (třída 1 až 4)</t>
  </si>
  <si>
    <t>VÝDAJE (třída 5 a 6)</t>
  </si>
  <si>
    <t>ROZDÍL (třída 8)</t>
  </si>
  <si>
    <t xml:space="preserve">org. </t>
  </si>
  <si>
    <t>Upravený rozpočet                                        k 28.12.2010</t>
  </si>
  <si>
    <t>Čerpání                                                      k 31.12.2010</t>
  </si>
  <si>
    <t xml:space="preserve">                      A - stavební investice</t>
  </si>
  <si>
    <t>A - stavební investice</t>
  </si>
  <si>
    <t>Azylový dům - stavební úpravy</t>
  </si>
  <si>
    <t>realizuje odbor investic</t>
  </si>
  <si>
    <t>Bezbariérové úpravy komunikací - trasa J</t>
  </si>
  <si>
    <t>Balbínova  - dětské hřiště</t>
  </si>
  <si>
    <t>Bendlova - dětské hřiště</t>
  </si>
  <si>
    <t>Brněnská - Jánského - stezka pro cyklisty a chodce</t>
  </si>
  <si>
    <t xml:space="preserve">Černovír -  hasičská zbrojnice </t>
  </si>
  <si>
    <t>péče o vzhled obcí a veřejnou zeleň</t>
  </si>
  <si>
    <t>pasport VZ</t>
  </si>
  <si>
    <t>org. 1057</t>
  </si>
  <si>
    <t>správa a údržba areálu Chválkovice</t>
  </si>
  <si>
    <t>Celkem odbor životního prostředí</t>
  </si>
  <si>
    <t>41 - odbor majetkoprávní</t>
  </si>
  <si>
    <t>správa, provoz a údržba Arionovy kašny</t>
  </si>
  <si>
    <t>údržba a provozování památek</t>
  </si>
  <si>
    <t xml:space="preserve">org. 1056 - 24 tis. Památník bojovníků za svobodu a demokracii,                              </t>
  </si>
  <si>
    <t>290 tis. Michalské schody</t>
  </si>
  <si>
    <t>SNO, a. s.</t>
  </si>
  <si>
    <t>obstarávání správy nemovitostí</t>
  </si>
  <si>
    <t>org. 1670</t>
  </si>
  <si>
    <t>provozování fontány a pítek v přednádražním prostoru</t>
  </si>
  <si>
    <t>správa a provoz pítka - P. Malého prince</t>
  </si>
  <si>
    <t>údržba vod. ploch - rybník Tabulák + kašna Jalta</t>
  </si>
  <si>
    <t xml:space="preserve">org. 10562  </t>
  </si>
  <si>
    <t>údržba povodňové mříže na Nemilance</t>
  </si>
  <si>
    <t xml:space="preserve">org. 10563 </t>
  </si>
  <si>
    <t>údržba odvodňovacího koryta Povelská</t>
  </si>
  <si>
    <t xml:space="preserve">org. 10564  </t>
  </si>
  <si>
    <t>Celkem odbor majetkoprávní</t>
  </si>
  <si>
    <t>Celkem odbor ochrany</t>
  </si>
  <si>
    <t>Celkem objednávky veř. služeb dle odborů</t>
  </si>
  <si>
    <t>TSMO, a. s. celkem</t>
  </si>
  <si>
    <t>Dopravní obslužnost celkem</t>
  </si>
  <si>
    <t xml:space="preserve">z toho: DPMO, a. s. </t>
  </si>
  <si>
    <t xml:space="preserve">           Veolia Transport Morava, a. s.</t>
  </si>
  <si>
    <t xml:space="preserve">           ostatní</t>
  </si>
  <si>
    <t>FLORA, a. s. celkem</t>
  </si>
  <si>
    <t>Správa nemovitostí Olomouc, a. s.</t>
  </si>
  <si>
    <t>CELKEM obj. veř. služeb dle subjektů</t>
  </si>
  <si>
    <r>
      <t xml:space="preserve">org. 2671  </t>
    </r>
    <r>
      <rPr>
        <b/>
        <sz val="8"/>
        <rFont val="Arial"/>
        <family val="2"/>
      </rPr>
      <t xml:space="preserve">ÚZ 606  </t>
    </r>
    <r>
      <rPr>
        <sz val="8"/>
        <rFont val="Arial"/>
        <family val="2"/>
      </rPr>
      <t>kryto dotací Olomouckého kraje</t>
    </r>
  </si>
  <si>
    <t xml:space="preserve">Čerpání/plnění                  k 31. 12. 2010                </t>
  </si>
  <si>
    <t>%                 plnění / čerpání</t>
  </si>
  <si>
    <t>v průběhu roku byla v souladu s platnými pravidly použita celková částka 41.696.947,36 Kč jako volný zdroj pro potřeby rozpočtu města</t>
  </si>
  <si>
    <t>Odbor</t>
  </si>
  <si>
    <t>Schválený rozpočet                     2010</t>
  </si>
  <si>
    <t>Upravený rozpočet                                        k 16. 9. 2008</t>
  </si>
  <si>
    <t>Poznámka</t>
  </si>
  <si>
    <t>01 - kancelář primátora</t>
  </si>
  <si>
    <t>02 - odbor investic</t>
  </si>
  <si>
    <t>03 - odbor koncepce a rozvoje</t>
  </si>
  <si>
    <t>04 - odbor živnostenský</t>
  </si>
  <si>
    <t>05 - odbor ekonomický</t>
  </si>
  <si>
    <t>06 - odbor inerního auditu a kontroly</t>
  </si>
  <si>
    <t>07 - odbor dopravy</t>
  </si>
  <si>
    <t>08 - odbor agendy řidičů a motor. vozidel</t>
  </si>
  <si>
    <t>10 - stavební odbor</t>
  </si>
  <si>
    <t>11 - odbor vn. vztahů a informací</t>
  </si>
  <si>
    <t>13 - odbor informatiky</t>
  </si>
  <si>
    <t xml:space="preserve">14 - odbor školství              </t>
  </si>
  <si>
    <t>15 - odbor sociální pomoci</t>
  </si>
  <si>
    <t>19 - odbor správy</t>
  </si>
  <si>
    <t>20 - Městská policie</t>
  </si>
  <si>
    <t>30 - odbor památkové péče</t>
  </si>
  <si>
    <t>35 - odbor soc. služeb a zdravotnictví</t>
  </si>
  <si>
    <t>40 - odbor životního prostředí</t>
  </si>
  <si>
    <t>41 - majetkoprávní odbor</t>
  </si>
  <si>
    <t>42 - odbor ochrany</t>
  </si>
  <si>
    <t>ÚZ 91628</t>
  </si>
  <si>
    <t>schválený rozpočet</t>
  </si>
  <si>
    <t>upravený rozpočet</t>
  </si>
  <si>
    <t>skutečnost</t>
  </si>
  <si>
    <t>čerpané úvěry (krátkodobé + dlouhodobé)</t>
  </si>
  <si>
    <t>přechodný účetní stav - nerealizované kurzové rozdíly</t>
  </si>
  <si>
    <t>rozdíl mezi počátečními a konečnými stavy  na bank. účtech ***</t>
  </si>
  <si>
    <t>CELKEM  (A)</t>
  </si>
  <si>
    <t>***</t>
  </si>
  <si>
    <t>počáteční stav</t>
  </si>
  <si>
    <t>konečný stav</t>
  </si>
  <si>
    <t>změna stavu</t>
  </si>
  <si>
    <t>základní běžný účet</t>
  </si>
  <si>
    <t>účel. fondy (FRB, soc. fond)</t>
  </si>
  <si>
    <t>běžné účty celkem</t>
  </si>
  <si>
    <t>splátky úvěrů</t>
  </si>
  <si>
    <t>Komerční banka, a. s.</t>
  </si>
  <si>
    <t>Česká spořitelna, a. s.</t>
  </si>
  <si>
    <t>MF ČR - kanalizace Holice</t>
  </si>
  <si>
    <t>Moravská vodárenská, a. s.</t>
  </si>
  <si>
    <t>KKA - Kommunalkredit Bank Austria</t>
  </si>
  <si>
    <t>SFŽP ČR - Fond soudržnosti</t>
  </si>
  <si>
    <t>CELKEM  (B)</t>
  </si>
  <si>
    <t xml:space="preserve">Tř. 8 - </t>
  </si>
  <si>
    <t>FINANCOVÁNÍ CELKEM (A + B)</t>
  </si>
  <si>
    <t>- nesplacené bankovní úvěry od ČS,a.s. , KB,a.s. a  Kommunalkredit Austria AG</t>
  </si>
  <si>
    <t>- úvěr od Moravské vodárenské a. s.</t>
  </si>
  <si>
    <t>- návratná fin. výpomoc od MF ČR na akci Kanalizace - Holice - připojení na ČOV</t>
  </si>
  <si>
    <t>- úročená půjčka od Stát.fondu životního prostředí na akci   ISPA</t>
  </si>
  <si>
    <t>- Evropská investiční banka - dlouhodobý úvěr</t>
  </si>
  <si>
    <t>- Komerční banka, a. s.  - revolvingový úvěr</t>
  </si>
  <si>
    <t>- Komerční banka, a. s.  - dlouhodobý úvěr</t>
  </si>
  <si>
    <t>- Česká spořitelna, a. s. - dlouhodobý úvěr</t>
  </si>
  <si>
    <r>
      <t xml:space="preserve">Součástí </t>
    </r>
    <r>
      <rPr>
        <b/>
        <sz val="10"/>
        <rFont val="Arial Narrow"/>
        <family val="2"/>
      </rPr>
      <t>příjmů</t>
    </r>
    <r>
      <rPr>
        <sz val="10"/>
        <rFont val="Arial Narrow"/>
        <family val="2"/>
      </rPr>
      <t xml:space="preserve"> města Olomouce je část tř. 8 - financování v celkové sumě </t>
    </r>
    <r>
      <rPr>
        <b/>
        <sz val="10"/>
        <rFont val="Arial Narrow"/>
        <family val="2"/>
      </rPr>
      <t>253.839.886,84 Kč</t>
    </r>
    <r>
      <rPr>
        <sz val="10"/>
        <rFont val="Arial Narrow"/>
        <family val="2"/>
      </rPr>
      <t>. Tuto částku tvoří:</t>
    </r>
  </si>
  <si>
    <r>
      <t xml:space="preserve">Součástí </t>
    </r>
    <r>
      <rPr>
        <b/>
        <sz val="10"/>
        <rFont val="Arial Narrow"/>
        <family val="2"/>
      </rPr>
      <t>výdajů</t>
    </r>
    <r>
      <rPr>
        <sz val="10"/>
        <rFont val="Arial Narrow"/>
        <family val="2"/>
      </rPr>
      <t xml:space="preserve"> města Olomouce je část tř. 8 - financování v celkové sumě </t>
    </r>
    <r>
      <rPr>
        <b/>
        <sz val="10"/>
        <rFont val="Arial Narrow"/>
        <family val="2"/>
      </rPr>
      <t>125.761.609,00 Kč</t>
    </r>
    <r>
      <rPr>
        <sz val="10"/>
        <rFont val="Arial Narrow"/>
        <family val="2"/>
      </rPr>
      <t>. Tuto částku tvoří:</t>
    </r>
  </si>
  <si>
    <r>
      <t xml:space="preserve">Celková zadluženost města Olomouce k 31. 12. 2010 (bez úroků) činí  </t>
    </r>
    <r>
      <rPr>
        <b/>
        <sz val="12"/>
        <rFont val="Arial Narrow"/>
        <family val="2"/>
      </rPr>
      <t>1 423 220 243,00 Kč</t>
    </r>
    <r>
      <rPr>
        <sz val="12"/>
        <rFont val="Arial Narrow"/>
        <family val="2"/>
      </rPr>
      <t xml:space="preserve">.   Z toho:                                                                                                                                                             </t>
    </r>
  </si>
  <si>
    <t>Dotace pro Moravskou filharmonii Olomouc</t>
  </si>
  <si>
    <r>
      <t xml:space="preserve">Kapitola: </t>
    </r>
    <r>
      <rPr>
        <b/>
        <sz val="10"/>
        <rFont val="Arial CE"/>
        <family val="0"/>
      </rPr>
      <t>Ministerstvo kultury ČR</t>
    </r>
  </si>
  <si>
    <t>Dotace na jednotná kontaktní místa</t>
  </si>
  <si>
    <r>
      <t xml:space="preserve">Kapitola: </t>
    </r>
    <r>
      <rPr>
        <b/>
        <sz val="10"/>
        <rFont val="Arial CE"/>
        <family val="0"/>
      </rPr>
      <t>Ministerstvo průmyslu a obchodu ČR</t>
    </r>
  </si>
  <si>
    <t>jednotlivé tituly</t>
  </si>
  <si>
    <t>Dávky HN a ZP</t>
  </si>
  <si>
    <t>Příspěvek na péči</t>
  </si>
  <si>
    <t>Pojistné na veřejnou službu</t>
  </si>
  <si>
    <t>sloupec 2 - uvádí se výše dotace nebo návratné finanční výpomoci převedené poskytovatelem prostřednictvím příslušného kraje nebo hlavního města Prahy na účet příjemce k 31.12.2010</t>
  </si>
  <si>
    <r>
      <t xml:space="preserve">Kapitola: </t>
    </r>
    <r>
      <rPr>
        <b/>
        <sz val="10"/>
        <rFont val="Arial CE"/>
        <family val="0"/>
      </rPr>
      <t>Ministerstvo práce a sociálních věcí ČR</t>
    </r>
  </si>
  <si>
    <t>Azylové domy</t>
  </si>
  <si>
    <t>Terénní programy</t>
  </si>
  <si>
    <r>
      <t xml:space="preserve">Kapitola: </t>
    </r>
    <r>
      <rPr>
        <b/>
        <sz val="10"/>
        <rFont val="Arial CE"/>
        <family val="0"/>
      </rPr>
      <t>Ministerstvo práce a sociálních věcí</t>
    </r>
  </si>
  <si>
    <t>Městský program prevence kriminality v roce 2010</t>
  </si>
  <si>
    <r>
      <t>Kapitola:</t>
    </r>
    <r>
      <rPr>
        <b/>
        <sz val="10"/>
        <rFont val="Arial CE"/>
        <family val="0"/>
      </rPr>
      <t xml:space="preserve"> Ministerstvo vnitra ČR</t>
    </r>
  </si>
  <si>
    <t>Meliorační a zpevňující dřeviny</t>
  </si>
  <si>
    <t>Činnost odborného lesního hospodáře</t>
  </si>
  <si>
    <t>Lesní hospodářské osnovy</t>
  </si>
  <si>
    <r>
      <t xml:space="preserve">Kapitola: </t>
    </r>
    <r>
      <rPr>
        <b/>
        <sz val="10"/>
        <rFont val="Arial CE"/>
        <family val="0"/>
      </rPr>
      <t>Ministerstvo zemědělství ČR</t>
    </r>
  </si>
  <si>
    <t>Zoologická zahrada Olomouc</t>
  </si>
  <si>
    <r>
      <t xml:space="preserve">Kapitola: </t>
    </r>
    <r>
      <rPr>
        <b/>
        <sz val="10"/>
        <rFont val="Arial CE"/>
        <family val="0"/>
      </rPr>
      <t>Ministerstvo životního prostředí ČR</t>
    </r>
  </si>
  <si>
    <t>Příloha č. 16 k vyhlášce č. 52/2008 Sb.</t>
  </si>
  <si>
    <t>Poskytnuto 
k 31.12. roku,
v němž byl
projekt ukončen</t>
  </si>
  <si>
    <t>Použito  
k 31.12. roku,
v němž byl
projekt ukončen</t>
  </si>
  <si>
    <t>Vratka prostředků
při finančním 
vypořádání na účet Národního fondu</t>
  </si>
  <si>
    <t>Úhrada dotace při finančním vypořádání z účtu Národního fondu</t>
  </si>
  <si>
    <t>3 = 1 - 2</t>
  </si>
  <si>
    <t>Dotace celkem</t>
  </si>
  <si>
    <t>Radíkovská ul. - přechod pro chodce</t>
  </si>
  <si>
    <t>Hněvotínská ul. přechod pro chodce</t>
  </si>
  <si>
    <t>Dětské jesle - průmyslová pračka</t>
  </si>
  <si>
    <t>Dětské hřiště - Smetanovy sady</t>
  </si>
  <si>
    <t>realizuje odbor dopravy</t>
  </si>
  <si>
    <t>RMO                            9.3.2010</t>
  </si>
  <si>
    <t>RMO                              23.3.2010</t>
  </si>
  <si>
    <t>RMO                             6.4.2010</t>
  </si>
  <si>
    <t>Upravený rozpočet                             k 31.5.2010</t>
  </si>
  <si>
    <t>změna</t>
  </si>
  <si>
    <t>real. odbor investic - v tom 10 289 000,00 Kč hrazeno                         z nájemného MOVO, a. s.</t>
  </si>
  <si>
    <t>Celkem</t>
  </si>
  <si>
    <t>bude následně dokryto dotací v roce 2011</t>
  </si>
  <si>
    <r>
      <t xml:space="preserve">skutečnost 2010: </t>
    </r>
    <r>
      <rPr>
        <sz val="8"/>
        <rFont val="Arial Narrow"/>
        <family val="2"/>
      </rPr>
      <t xml:space="preserve">SNO, a. s. 55.480.400,-- Kč; MMOl 160.003.600,--  Kč; MOVO, a. s. 57.541.000,-- Kč; OLTERM &amp; TD, a. s.                    </t>
    </r>
  </si>
  <si>
    <r>
      <t>bez ÚZ</t>
    </r>
    <r>
      <rPr>
        <sz val="8"/>
        <rFont val="Arial Narrow"/>
        <family val="2"/>
      </rPr>
      <t xml:space="preserve"> Evropská komise na projekt EUROPE DIRECT</t>
    </r>
  </si>
  <si>
    <r>
      <t xml:space="preserve">ÚZ 91628 </t>
    </r>
    <r>
      <rPr>
        <sz val="8"/>
        <rFont val="Arial Narrow"/>
        <family val="2"/>
      </rPr>
      <t>SFDI ČR na akci "Bezbariérové úpravy komunikací - trasa J"</t>
    </r>
  </si>
  <si>
    <r>
      <t xml:space="preserve">ÚZ 29516 </t>
    </r>
    <r>
      <rPr>
        <sz val="8"/>
        <rFont val="Arial Narrow"/>
        <family val="2"/>
      </rPr>
      <t>Mze ČR na zpracování lesních hospodářských osnov - sever</t>
    </r>
  </si>
  <si>
    <r>
      <t xml:space="preserve">ÚZ 36117870 </t>
    </r>
    <r>
      <rPr>
        <sz val="8"/>
        <rFont val="Arial Narrow"/>
        <family val="2"/>
      </rPr>
      <t>MMR ČR na akcí "Územní plán Olomouc"</t>
    </r>
  </si>
  <si>
    <r>
      <t xml:space="preserve">ÚZ 36517871 </t>
    </r>
    <r>
      <rPr>
        <sz val="8"/>
        <rFont val="Arial Narrow"/>
        <family val="2"/>
      </rPr>
      <t>prostředky EU na akcí "Územní plán Olomouc"</t>
    </r>
  </si>
  <si>
    <r>
      <t>ÚZ 36517871</t>
    </r>
    <r>
      <rPr>
        <sz val="8"/>
        <rFont val="Arial Narrow"/>
        <family val="2"/>
      </rPr>
      <t xml:space="preserve"> MMR ČR z prostředků strukturálních fondů ERDF na akci "Přichystalova ulice - rekonstrukce komunikace"</t>
    </r>
  </si>
  <si>
    <r>
      <t xml:space="preserve">ÚZ 60995816 </t>
    </r>
    <r>
      <rPr>
        <sz val="8"/>
        <rFont val="Arial Narrow"/>
        <family val="2"/>
      </rPr>
      <t>(norské fondy) - akce "Modernizace ŠJ FZŠ a MŠ Dr. M. Horákové" - doplatek z r. 2009</t>
    </r>
  </si>
  <si>
    <r>
      <t xml:space="preserve">ÚZ 32133006 </t>
    </r>
    <r>
      <rPr>
        <sz val="8"/>
        <rFont val="Arial Narrow"/>
        <family val="2"/>
      </rPr>
      <t>prostředky ČR na projekt "Dejme šanci přírodě - interaktivní výuka přírodovědných předmětů na ZŠ"</t>
    </r>
  </si>
  <si>
    <r>
      <t xml:space="preserve">ÚZ 32533006 </t>
    </r>
    <r>
      <rPr>
        <sz val="8"/>
        <rFont val="Arial Narrow"/>
        <family val="2"/>
      </rPr>
      <t>prostředky EU na projekt "Dejme šanci přírodě - interaktivní výuka přírodovědných předmětů na ZŠ"</t>
    </r>
  </si>
  <si>
    <r>
      <t xml:space="preserve">ÚZ 00608 </t>
    </r>
    <r>
      <rPr>
        <sz val="8"/>
        <rFont val="Arial Narrow"/>
        <family val="2"/>
      </rPr>
      <t>na akce: 184.558,-- Kč  "Pasteurova ul. - přechod pro chodce"; 22.000,-- Kč "Bezpečnostní prvky - radary"</t>
    </r>
  </si>
  <si>
    <r>
      <t>ÚZ 00001</t>
    </r>
    <r>
      <rPr>
        <sz val="8"/>
        <rFont val="Arial Narrow"/>
        <family val="2"/>
      </rPr>
      <t xml:space="preserve"> pro ZOO Sv. Kopeček na akci "ZOO Sv. Kopeček - pavilon pro levharty mandžuské"</t>
    </r>
  </si>
  <si>
    <r>
      <t>ÚZ 38187501</t>
    </r>
    <r>
      <rPr>
        <sz val="8"/>
        <rFont val="Arial Narrow"/>
        <family val="2"/>
      </rPr>
      <t xml:space="preserve"> - prostředky ČR na akci "Přednádražní prostor"</t>
    </r>
  </si>
  <si>
    <r>
      <t>ÚZ 38587505</t>
    </r>
    <r>
      <rPr>
        <sz val="8"/>
        <rFont val="Arial Narrow"/>
        <family val="2"/>
      </rPr>
      <t xml:space="preserve"> - prostředky EU na akci "Přednádražní prostor"</t>
    </r>
  </si>
  <si>
    <t xml:space="preserve">Upravený rozpočet                    k 28.12.2010                  </t>
  </si>
  <si>
    <t xml:space="preserve">Čerpání/plnění                  k 31.12. 2010                </t>
  </si>
  <si>
    <r>
      <t>2328-</t>
    </r>
    <r>
      <rPr>
        <sz val="8"/>
        <rFont val="Arial CE"/>
        <family val="2"/>
      </rPr>
      <t>neidentifikované příjmy</t>
    </r>
  </si>
  <si>
    <r>
      <t>5660-</t>
    </r>
    <r>
      <rPr>
        <sz val="8"/>
        <rFont val="Arial CE"/>
        <family val="2"/>
      </rPr>
      <t xml:space="preserve">neinv. půjčené prostř. obyvatelstvu </t>
    </r>
  </si>
  <si>
    <r>
      <t>5624</t>
    </r>
    <r>
      <rPr>
        <sz val="8"/>
        <rFont val="Arial CE"/>
        <family val="2"/>
      </rPr>
      <t>-neinv. půjč. prostř. spol. vlastníků jednotek</t>
    </r>
  </si>
  <si>
    <t>Čerpání                        k   31.12.2010</t>
  </si>
  <si>
    <t>Výdaje fondů a účtů nerozpočtovaných</t>
  </si>
  <si>
    <t>Sociální fond</t>
  </si>
  <si>
    <t>5139 - nákup materiálu j. n.</t>
  </si>
  <si>
    <t>5163 - služby peněžních ústavů</t>
  </si>
  <si>
    <t>poplatky</t>
  </si>
  <si>
    <t>5164 - nájemné</t>
  </si>
  <si>
    <t>5169 - nákup ostatních služeb</t>
  </si>
  <si>
    <t>vstupenky, zájezdy, přísp. na stravné</t>
  </si>
  <si>
    <t>5175 - pohoštění</t>
  </si>
  <si>
    <t>5189 - ost. poskyt. zálohy a jistiny</t>
  </si>
  <si>
    <t>5194 - věcné dary</t>
  </si>
  <si>
    <t>5499 - ostatní neinv. transfery obyv.</t>
  </si>
  <si>
    <t>v tom příspěvek zaměstnancům na penzijní pojištění</t>
  </si>
  <si>
    <t>5660 - neinv. půjčky obyvatelstvu</t>
  </si>
  <si>
    <t>Sociální fond Městské policie</t>
  </si>
  <si>
    <t>5134 - prádlo,oděv a obuv</t>
  </si>
  <si>
    <t>5137 - DHDM</t>
  </si>
  <si>
    <t>příspěvek na stravné</t>
  </si>
  <si>
    <t>5173 - cestovné</t>
  </si>
  <si>
    <t>Fond rezerv a rozvoje</t>
  </si>
  <si>
    <t>Celkem  fondy</t>
  </si>
  <si>
    <t>Upravený rozpočet                    k 28. 12. 2010</t>
  </si>
  <si>
    <t>ČÁST A:</t>
  </si>
  <si>
    <t>Příloha č. 1</t>
  </si>
  <si>
    <t>str. 1</t>
  </si>
  <si>
    <t>Příloha č. 2</t>
  </si>
  <si>
    <t>str. 2 - 5</t>
  </si>
  <si>
    <t>Příloha č. 3</t>
  </si>
  <si>
    <t>str. 6 - 7</t>
  </si>
  <si>
    <t>Příloha č. 4</t>
  </si>
  <si>
    <t>str. 8</t>
  </si>
  <si>
    <t>Příloha č. 5</t>
  </si>
  <si>
    <t>str. 9</t>
  </si>
  <si>
    <t>Příloha č. 6</t>
  </si>
  <si>
    <t>Hospodaření účlových fondů - Fond rozvoje bydlení (klasický + povodňový),</t>
  </si>
  <si>
    <t>str. 10 - 12</t>
  </si>
  <si>
    <t>Příloha č. 7</t>
  </si>
  <si>
    <t>ČÁST B:</t>
  </si>
  <si>
    <t>Příloha č. 8</t>
  </si>
  <si>
    <t>Rekapitulace příjmů, výdajů a financování roku 2010</t>
  </si>
  <si>
    <t>Příjmy – plnění k 31. 12. 2010</t>
  </si>
  <si>
    <t>Sumář provozních výdajů – objednávky veřejných služeb v roce 2010</t>
  </si>
  <si>
    <t>Sumář provozních výdajů – příspěvkové organizace v roce 2010</t>
  </si>
  <si>
    <t>Financování v roce 2010</t>
  </si>
  <si>
    <t>sociální fondy a FRR v roce 2010</t>
  </si>
  <si>
    <t>Finanční vypořádání se státním rozpočtem za rok 2010</t>
  </si>
  <si>
    <t>Investice - čerpání k 31. 12. 2010</t>
  </si>
  <si>
    <t>str. 13 - 26</t>
  </si>
  <si>
    <t>str. 1 - 11</t>
  </si>
  <si>
    <t>Název organizace</t>
  </si>
  <si>
    <t>§, položky, org.</t>
  </si>
  <si>
    <t>Schválený rozpočet na rok 2009</t>
  </si>
  <si>
    <t xml:space="preserve">Upravený rozpočet                                      k 3.11.2009                                     </t>
  </si>
  <si>
    <t>Čerpání                         k 31.10.2009</t>
  </si>
  <si>
    <t>Požadavek                                   na r. 2009</t>
  </si>
  <si>
    <t>RMO                  I. čtení</t>
  </si>
  <si>
    <t>Schválený rozpočet                   2010</t>
  </si>
  <si>
    <t>Upravený rozpočet                                      k 31.5.2010</t>
  </si>
  <si>
    <t>ZOO Olomouc</t>
  </si>
  <si>
    <t>3741-5331-1077</t>
  </si>
  <si>
    <t>Moravské divadlo</t>
  </si>
  <si>
    <t>3311-5331-1150</t>
  </si>
  <si>
    <t>Divadlo hudby</t>
  </si>
  <si>
    <t>3311-5331-1160</t>
  </si>
  <si>
    <t>navýšení: dotace Olomouc. kraje 60 tis. Kč ÚZ 212</t>
  </si>
  <si>
    <t>Moravská filharmonie</t>
  </si>
  <si>
    <t>3312-5331-1170</t>
  </si>
  <si>
    <t>Obnova mobiliáře a cestní sítě v Bezručovy a Čechovy sady</t>
  </si>
  <si>
    <t>Olomouc - komunikace Pražská - Křelovská</t>
  </si>
  <si>
    <t>Olomoucký hrad - cestní sítě</t>
  </si>
  <si>
    <t>Požárníků - dopravní řešení</t>
  </si>
  <si>
    <t>Protipovodňová opatření na Nemilance</t>
  </si>
  <si>
    <t>Protipovodňová opatření II. B etapa - související investice</t>
  </si>
  <si>
    <t>Přáslavická svodnice - přeložka</t>
  </si>
  <si>
    <t>Překládací stanice odpadů</t>
  </si>
  <si>
    <t>Přeložka sběrače C</t>
  </si>
  <si>
    <t>Silnice Chválkovická 1/46 - stavební úpravy</t>
  </si>
  <si>
    <t>5037</t>
  </si>
  <si>
    <t>Slunečná - rekonstrukce komunikace</t>
  </si>
  <si>
    <t>Týneček - Chválkovice, cyklostezka</t>
  </si>
  <si>
    <t>Ul. 1. máje - stavební úpravy komunikace</t>
  </si>
  <si>
    <t>Ul. 28 října - rekonstrukce komunikace</t>
  </si>
  <si>
    <t>Ul. 8. května - stavební úpravy komunikace</t>
  </si>
  <si>
    <t>Ul. Skupova - rozšíření parkovacích stání</t>
  </si>
  <si>
    <t>Ul. Trnkova  - rozšíření parkovacích stání</t>
  </si>
  <si>
    <t>V Hlinkách - parkoviště</t>
  </si>
  <si>
    <t>Vazební věznice - parkoviště</t>
  </si>
  <si>
    <t xml:space="preserve">Výstaviště Flora Olomouc a. s. - rozvoj a rekonstrukce výstaviště </t>
  </si>
  <si>
    <t xml:space="preserve">Výstaviště Flora Olomouc, a. s. - pavilon A </t>
  </si>
  <si>
    <t>Za Vodojemem - parkoviště</t>
  </si>
  <si>
    <t>ZŠ Demlova - energetická opatření</t>
  </si>
  <si>
    <t>ZŠ Heyrovského - energetická opatření</t>
  </si>
  <si>
    <t>CZ0164-Modernizace školní jídelny Fakultní ZŠ Dr. M. Horákové</t>
  </si>
  <si>
    <t>a MŠ Olomouc</t>
  </si>
  <si>
    <t xml:space="preserve">sloupec 2 - uvádí se celkový objem prostředků skutečně použitých příjemcem z poskytnuté dotace z Národního fondu k 31.12. roku, </t>
  </si>
  <si>
    <t>v němž je projekt ukončen</t>
  </si>
  <si>
    <t>sloupec 3 - uvádí se výše případné vratky dotace na účet Národního fondu</t>
  </si>
  <si>
    <t>sloupec 4 - uvádí se výše případného požadavku na dotaci z účtu Národního fondu</t>
  </si>
  <si>
    <t>Sestavil: Ing. Vladislav Vlasák</t>
  </si>
  <si>
    <r>
      <t xml:space="preserve">Příjemce dotace z Národního fondu: </t>
    </r>
    <r>
      <rPr>
        <b/>
        <sz val="10"/>
        <rFont val="Arial CE"/>
        <family val="0"/>
      </rPr>
      <t>Statutární město Olomouc</t>
    </r>
  </si>
  <si>
    <r>
      <t>Kapitola:</t>
    </r>
    <r>
      <rPr>
        <b/>
        <sz val="10"/>
        <rFont val="Arial CE"/>
        <family val="0"/>
      </rPr>
      <t xml:space="preserve"> Ministerstvo financí ČR</t>
    </r>
  </si>
  <si>
    <r>
      <t>Finanční vypořádání dotací poskytnutých z Národního fondu</t>
    </r>
    <r>
      <rPr>
        <b/>
        <strike/>
        <sz val="10"/>
        <color indexed="10"/>
        <rFont val="Arial CE"/>
        <family val="0"/>
      </rPr>
      <t xml:space="preserve"> </t>
    </r>
  </si>
  <si>
    <r>
      <t>sloupec 1 - uvádí se výše prostředků stanovených v rozhodnutí</t>
    </r>
    <r>
      <rPr>
        <b/>
        <sz val="9"/>
        <rFont val="Arial CE"/>
        <family val="2"/>
      </rPr>
      <t xml:space="preserve"> </t>
    </r>
    <r>
      <rPr>
        <sz val="9"/>
        <rFont val="Arial CE"/>
        <family val="2"/>
      </rPr>
      <t>na celkovou dobu trvání projektu</t>
    </r>
  </si>
  <si>
    <t>Tabulka č.1b</t>
  </si>
  <si>
    <t>termín odevzdání: 20. 2. 2011</t>
  </si>
  <si>
    <t>Přehled úvěrů, půjček a návratných finančních výpomocí přijatých obcemi a dobrovolnými svazky obcí od peněžních ústavů, jiných fyzických a právnických osob v roce 2010 (bez ústředních orgánů státní správy a státních fondů)</t>
  </si>
  <si>
    <t>(v tis. Kč)</t>
  </si>
  <si>
    <t>Účel úvěru</t>
  </si>
  <si>
    <t>Výše úvěru a NFV 
(v tis Kč)*</t>
  </si>
  <si>
    <t>Poskytovatel úvěru</t>
  </si>
  <si>
    <t>Termín splatnosti</t>
  </si>
  <si>
    <t>Výše</t>
  </si>
  <si>
    <t>Název obce (DSO)</t>
  </si>
  <si>
    <t>úroku</t>
  </si>
  <si>
    <t>Způsob ručení</t>
  </si>
  <si>
    <t>v %</t>
  </si>
  <si>
    <t>1</t>
  </si>
  <si>
    <t>4</t>
  </si>
  <si>
    <t>6</t>
  </si>
  <si>
    <t>investiční</t>
  </si>
  <si>
    <t>EIB</t>
  </si>
  <si>
    <t>bez zajištění</t>
  </si>
  <si>
    <t>O b e c (DSO)   c e l k e m</t>
  </si>
  <si>
    <t>Paragraf</t>
  </si>
  <si>
    <t>Číslo prvku</t>
  </si>
  <si>
    <t>Schválený rozpočet 2010</t>
  </si>
  <si>
    <t>Změna</t>
  </si>
  <si>
    <t xml:space="preserve">% čerpání </t>
  </si>
  <si>
    <t>Upravený rozpočet                        k 31.5.2010</t>
  </si>
  <si>
    <t>D - ostatní nákup dlouhodobého nehmotného majetku - odbor koncepce a rozvoje</t>
  </si>
  <si>
    <t>E - ostatní nákup dlouhodobého nehmotného majetku - odbor evropských projektů</t>
  </si>
  <si>
    <t>F - MOVO, a. s.</t>
  </si>
  <si>
    <t>Trnkova - rozšíření parkovacích stání</t>
  </si>
  <si>
    <t>Turistický multimediální průvodce - OLINA</t>
  </si>
  <si>
    <t>Týneček - dětské hřiště</t>
  </si>
  <si>
    <t>U Botanické zahrady - rekonstrukce komunikace a parkovacích stání</t>
  </si>
  <si>
    <t>Bezbariérové úpravy komunikací  - trasa N</t>
  </si>
  <si>
    <t>Bystrovany - rek komunikace a inž. sítí</t>
  </si>
  <si>
    <t xml:space="preserve">Dejme šanci přírodě </t>
  </si>
  <si>
    <t>realizuje odbor školství</t>
  </si>
  <si>
    <t>Dejme šanci přírodě</t>
  </si>
  <si>
    <t>Holice - rozhlasová ústředna</t>
  </si>
  <si>
    <t>Informační centrum - rekonstrukce</t>
  </si>
  <si>
    <t>Inline stezky</t>
  </si>
  <si>
    <t>Jednotný systém značení památek a památných domů</t>
  </si>
  <si>
    <t>Kateřinská č. 23 - telefonní ústředna</t>
  </si>
  <si>
    <t>Kateřinská č. 23 - instalace dveřní hlásky</t>
  </si>
  <si>
    <t>Lesní hospodářské osnovy - sever</t>
  </si>
  <si>
    <t>Lošov - rozhlasová ústředna</t>
  </si>
  <si>
    <t>Lesy města Olomouce, a. s. - základní kapitál zakladatele</t>
  </si>
  <si>
    <t>realizuje ekonomický odbor</t>
  </si>
  <si>
    <t>Městská policie - rozšíření kamerového systému</t>
  </si>
  <si>
    <t>Městská policie - nákup parkovacích automatů</t>
  </si>
  <si>
    <t>Mošnerova - rek. komunikace</t>
  </si>
  <si>
    <t>Nákup SW</t>
  </si>
  <si>
    <t>realizuje odbor informatiky</t>
  </si>
  <si>
    <t>realizuje odbor správy</t>
  </si>
  <si>
    <t>Pořízení informační a výpočetní techniky</t>
  </si>
  <si>
    <t>Po stopách Sv. Jana Sarkandra</t>
  </si>
  <si>
    <t>Přeložka sběrace C</t>
  </si>
  <si>
    <t>Radar Display - 230 Sv. Kopeček - Dvorského ul.</t>
  </si>
  <si>
    <t>Radar Display - 230 Sv. Kopeček - Radíkovská ul.</t>
  </si>
  <si>
    <t>Rekonstrukce a dobudování stokové sítě města - II. část</t>
  </si>
  <si>
    <t xml:space="preserve">Společnost Kaufland, v. o. s. - splátka kupní ceny </t>
  </si>
  <si>
    <t>realizuje majetkoprávní odbor</t>
  </si>
  <si>
    <t>Turistický multimediální průvodce Olomoucí</t>
  </si>
  <si>
    <t>Výkupy pozemků</t>
  </si>
  <si>
    <t>Upravený rozpočet                                      k 28.12.010</t>
  </si>
  <si>
    <t>ZŠ Zeyerova - výdejna stravy</t>
  </si>
  <si>
    <t xml:space="preserve">Schválený rozpočet                              na rok 2010                                </t>
  </si>
  <si>
    <t>RMO                                 26.1.2010</t>
  </si>
  <si>
    <t>Ul. Táboritů - rekonstrukce komunikace</t>
  </si>
  <si>
    <t>Nemilany park - dětské hřiště</t>
  </si>
  <si>
    <t>Ministerstvo financí</t>
  </si>
  <si>
    <t>Tabulka 5)</t>
  </si>
  <si>
    <t>Letenská 15</t>
  </si>
  <si>
    <t>Praha 1</t>
  </si>
  <si>
    <t>odbor 12</t>
  </si>
  <si>
    <t>Finanční vypořádání dotace na výkon sociálně-právní ochrany dětí se státním rozpočtem za rok 2010</t>
  </si>
  <si>
    <t xml:space="preserve">Kraj: </t>
  </si>
  <si>
    <t>Obec:</t>
  </si>
  <si>
    <t>(v Kč na dvě desetinná místa)</t>
  </si>
  <si>
    <t>ÚZ</t>
  </si>
  <si>
    <t>Poskytnuto
k 31.12.2010</t>
  </si>
  <si>
    <t>Použito
k 31.12.2010</t>
  </si>
  <si>
    <t>Vratka dotace při finančním vypořádání</t>
  </si>
  <si>
    <t>Požadavek na doplatek</t>
  </si>
  <si>
    <t>982 16</t>
  </si>
  <si>
    <t xml:space="preserve">sloupec 1 - uvádí se účelový znak dotace </t>
  </si>
  <si>
    <t>sloupec 2 - uvádí se celkový objem dotace na výkon SPOD poskytnutý ze státního rozpočtu v roce 2010</t>
  </si>
  <si>
    <t>sloupec 3 - uvádí se celkový objem skutečných výdajů na výkon SPOD v roce 2010</t>
  </si>
  <si>
    <t>sloupec 4 - vyplňuje se, pokud příjemce provedl vratku dotace na výkon SPOD</t>
  </si>
  <si>
    <t>org. 60 - dopravní přestupky ve správním řízení</t>
  </si>
  <si>
    <t>org. 70 - přestupkové odd. MMOl - ve správním řízení</t>
  </si>
  <si>
    <t>org. 71 - přestupkové odd. MMOl - pořádkové ve správním řízení</t>
  </si>
  <si>
    <t>org. 701 - odbor správy - evidence obyvatel</t>
  </si>
  <si>
    <t>org. 42 - odbor ochrany (úsek obrany)</t>
  </si>
  <si>
    <t>org. 14 - odbor školství</t>
  </si>
  <si>
    <t xml:space="preserve">org. 15 - odbor sociální pomoci </t>
  </si>
  <si>
    <t>org. 155 - odbor sociální pomoci - sociálně právní ochrana dětí</t>
  </si>
  <si>
    <t>pokuty stavební odbor</t>
  </si>
  <si>
    <t xml:space="preserve">pokuty Městská policie </t>
  </si>
  <si>
    <t>org. 40 - ve správním řízení</t>
  </si>
  <si>
    <t>org. 41 - pořádkové</t>
  </si>
  <si>
    <t>ostatní příjmy z FV předchozích let od jiných veř. rozpočtů</t>
  </si>
  <si>
    <t>vratka Finančního úřadu (DPH z roku 2009)</t>
  </si>
  <si>
    <t>doplatek na volby do Evropského parlamentu (výdaje byly uskutečněny v roce 2009)</t>
  </si>
  <si>
    <t>ostatní přijaté vratky transferů</t>
  </si>
  <si>
    <t>vratky sociálních dávek</t>
  </si>
  <si>
    <t>přijaté neinvestiční dary</t>
  </si>
  <si>
    <t xml:space="preserve">10 tis. Kč firma JESENIA TOUR CK, Šumperk na akci Tuninig Meeting III.; 2 tis. Kč pan R. Opletal pro Klub důchodců </t>
  </si>
  <si>
    <t>přijaté pojistné náhrady</t>
  </si>
  <si>
    <t>přijaté nekapitálové příspěvky a náhrady</t>
  </si>
  <si>
    <t>vymožené výživné</t>
  </si>
  <si>
    <t>platby Vojenské policie ČR za dopravu pracovníků MHD</t>
  </si>
  <si>
    <t>tržby IDOS od obcí a obchodních center dle smluv</t>
  </si>
  <si>
    <t>např. vratky přeplatků záloh z minulých let za energie, náhradní výsadby apod.</t>
  </si>
  <si>
    <t xml:space="preserve">výnosy soudních řízení </t>
  </si>
  <si>
    <t>neidentifikované příjmy</t>
  </si>
  <si>
    <t>mylné platby - nerozpočtují se (nabíhá pouze skutečnost)</t>
  </si>
  <si>
    <t>ostatní nedaňové příjmy j. n.</t>
  </si>
  <si>
    <t xml:space="preserve">nahodilé příjmy z minulých let - neopakující se platby (vratky sankcí, uhrazené pohledávky od zaměstnaců apod.); </t>
  </si>
  <si>
    <t>v tom 180.749,-- Kč uhrazená část pohledávky za zkrachovalou Union Bankou</t>
  </si>
  <si>
    <t xml:space="preserve">dotační tituly, na jejich příjem v r. 2010 byly podepsány závazné smlouvy - po jejich obdržení byly převáděny na   </t>
  </si>
  <si>
    <t>konkrétní dotační položky dle platné rozpočtové skladby (tř. 4 - přijaté dotace)</t>
  </si>
  <si>
    <t>příjmy z úhrad dobývacího prostoru</t>
  </si>
  <si>
    <t>splátky půjčených prostředků od obyvatelstva</t>
  </si>
  <si>
    <t xml:space="preserve">FRB klasický 20.438 tis. Kč, FRB povodňový 7 tis. Kč </t>
  </si>
  <si>
    <t>od zaměstnanců MMOl do sociálního fondu</t>
  </si>
  <si>
    <t>sociální půjčky poskytnuté obyvatelstvu bývalým OkÚ</t>
  </si>
  <si>
    <t>Celkem tř. 2 - NEDAŇOVÉ PŘÍJMY</t>
  </si>
  <si>
    <t>neinv. přijtaté transf. z všeob. pokl. správy stát. rozpočtu</t>
  </si>
  <si>
    <t>neinv. přij. transf. v rámci souhrn. dotač. vztahu</t>
  </si>
  <si>
    <t>výkon st. správy 89.848,5 tis. Kč;  školství 14.336,7 tis. Kč; 17.744 tis. Kč Knihovna města Olomouce</t>
  </si>
  <si>
    <t>neinvestiční přijaté transfery ze státních fondů</t>
  </si>
  <si>
    <t>ostatní neinv. transfery přijaté ze státního rozpočtu</t>
  </si>
  <si>
    <t>ostatní neinvestiční příjaté transfery od rozpočtů ústřední úrovně</t>
  </si>
  <si>
    <t>neinvestiční přijaté transfery od obcí</t>
  </si>
  <si>
    <t>oblast školství - platby obcí za cizí žáky v olomouckých školských zařízeních</t>
  </si>
  <si>
    <t>úhrady od obecních úřadů za výkon státní správy</t>
  </si>
  <si>
    <t>neinvestiční přijaté transfery od krajů</t>
  </si>
  <si>
    <t>hudby - 60 tis. Kč na Dny židovské kultury)</t>
  </si>
  <si>
    <t>hřbitovech</t>
  </si>
  <si>
    <t>převody z vlastních fondů hosp. činnosti (81 %)</t>
  </si>
  <si>
    <t xml:space="preserve">SNO, a. s. 55.480.400,-- Kč; MMOl 231.611.076,--  Kč; MOVO, a. s. 57.541.000,-- Kč; OLTERM &amp; TD, a. s. 405.000,-- Kč;                    </t>
  </si>
  <si>
    <t>SLMO 4.070.000,-- Kč</t>
  </si>
  <si>
    <t>405.000,-- Kč; SLMO 4.070.000,-- Kč</t>
  </si>
  <si>
    <t>převody z ostatních vlastních fondů (depozit)</t>
  </si>
  <si>
    <t>limitní náhrady za přidělení bytů</t>
  </si>
  <si>
    <t>13.362.600,-- Kč firma EKO-KOM na odpadové hospodářství (OŽP); 5.497,84 Kč prostředky ze ztrát a nálezů (EO)</t>
  </si>
  <si>
    <t>neinvestiční přijaté transfery od Evropské unie</t>
  </si>
  <si>
    <t>investiční přijaté transfery ze státních fondů</t>
  </si>
  <si>
    <t>ostatní investiční přijaté transfery ze státního rozpočtu</t>
  </si>
  <si>
    <t>investiční převody z Národního fondu</t>
  </si>
  <si>
    <t>investiční přijaté transfery od krajů</t>
  </si>
  <si>
    <t>investiční přijaté transfery od regionálních rad</t>
  </si>
  <si>
    <t>Celkem tř. 4 - PŘIJATÉ DOTACE</t>
  </si>
  <si>
    <t>PŘÍJMY CELKEM</t>
  </si>
  <si>
    <r>
      <t>SNO, a. s. 13.190 tis. Kč;</t>
    </r>
    <r>
      <rPr>
        <sz val="8"/>
        <color indexed="10"/>
        <rFont val="Arial Narrow"/>
        <family val="2"/>
      </rPr>
      <t xml:space="preserve"> </t>
    </r>
    <r>
      <rPr>
        <sz val="8"/>
        <rFont val="Arial Narrow"/>
        <family val="2"/>
      </rPr>
      <t>MMOl 53.226 tis. Kč;</t>
    </r>
    <r>
      <rPr>
        <sz val="8"/>
        <color indexed="10"/>
        <rFont val="Arial Narrow"/>
        <family val="2"/>
      </rPr>
      <t xml:space="preserve"> </t>
    </r>
    <r>
      <rPr>
        <sz val="8"/>
        <rFont val="Arial Narrow"/>
        <family val="2"/>
      </rPr>
      <t>MOVO, a. s. 13.497 tis. Kč;</t>
    </r>
    <r>
      <rPr>
        <sz val="8"/>
        <color indexed="10"/>
        <rFont val="Arial Narrow"/>
        <family val="2"/>
      </rPr>
      <t xml:space="preserve">  </t>
    </r>
    <r>
      <rPr>
        <sz val="8"/>
        <rFont val="Arial Narrow"/>
        <family val="2"/>
      </rPr>
      <t xml:space="preserve">OLTERM &amp; TD, a. s. 95 tis. Kč;  </t>
    </r>
    <r>
      <rPr>
        <sz val="8"/>
        <color indexed="10"/>
        <rFont val="Arial Narrow"/>
        <family val="2"/>
      </rPr>
      <t xml:space="preserve">                        </t>
    </r>
  </si>
  <si>
    <r>
      <t xml:space="preserve">skutečnost 2010: </t>
    </r>
    <r>
      <rPr>
        <sz val="8"/>
        <rFont val="Arial Narrow"/>
        <family val="2"/>
      </rPr>
      <t xml:space="preserve">SNO, a. s. 13.190 tis. Kč; MMOl 44.933 tis. Kč; MOVO, a. s. 13.497 tis. Kč;  OLTERM &amp; TD, a. s. 95 tis. Kč;                          </t>
    </r>
  </si>
  <si>
    <r>
      <t xml:space="preserve"> </t>
    </r>
    <r>
      <rPr>
        <sz val="8"/>
        <rFont val="Arial Narrow"/>
        <family val="2"/>
      </rPr>
      <t>ve výdajích ekonom. odboru se promítá 50 % odvod do státního rozpočtu</t>
    </r>
  </si>
  <si>
    <r>
      <t>stavební odbor 700 tis. Kč;</t>
    </r>
    <r>
      <rPr>
        <sz val="8"/>
        <color indexed="10"/>
        <rFont val="Arial Narrow"/>
        <family val="2"/>
      </rPr>
      <t xml:space="preserve"> </t>
    </r>
    <r>
      <rPr>
        <sz val="8"/>
        <rFont val="Arial Narrow"/>
        <family val="2"/>
      </rPr>
      <t>živnostenský odbor 1.888 tis. Kč; odbor správy 5 mil. Kč (matrika, cest. doklady,</t>
    </r>
  </si>
  <si>
    <r>
      <t xml:space="preserve">skutečnost 2010: </t>
    </r>
    <r>
      <rPr>
        <sz val="8"/>
        <rFont val="Arial Narrow"/>
        <family val="2"/>
      </rPr>
      <t xml:space="preserve">odbor soc. pomoci 15.220,-- Kč; odbor život. prostř. 778.559,-- Kč; odbor agendy řidičů a mot. vozidel       </t>
    </r>
  </si>
  <si>
    <t xml:space="preserve">vratky transferů od cizích subjektů z předešlých období </t>
  </si>
  <si>
    <r>
      <t xml:space="preserve">ÚZ 22005 </t>
    </r>
    <r>
      <rPr>
        <sz val="8"/>
        <rFont val="Arial Narrow"/>
        <family val="2"/>
      </rPr>
      <t>MPSV ČR na výkon činnosti jednotných kontaktních míst</t>
    </r>
  </si>
  <si>
    <t xml:space="preserve">org. 1056 - protipovodňová opatření       </t>
  </si>
  <si>
    <r>
      <t xml:space="preserve">skutečnost: </t>
    </r>
    <r>
      <rPr>
        <sz val="8"/>
        <rFont val="Arial Narrow"/>
        <family val="2"/>
      </rPr>
      <t>dividendy firmy Dalkia, a. s. za rok 2009</t>
    </r>
  </si>
  <si>
    <r>
      <t>ostatní pokuty</t>
    </r>
    <r>
      <rPr>
        <sz val="8"/>
        <rFont val="Arial Narrow"/>
        <family val="2"/>
      </rPr>
      <t>, z toho:</t>
    </r>
  </si>
  <si>
    <r>
      <t>pokuty odbor agendy řidičů a motorových vozidel</t>
    </r>
    <r>
      <rPr>
        <sz val="8"/>
        <rFont val="Arial Narrow"/>
        <family val="2"/>
      </rPr>
      <t xml:space="preserve">   </t>
    </r>
  </si>
  <si>
    <r>
      <t>pokuty odbor životního prostředí</t>
    </r>
    <r>
      <rPr>
        <sz val="8"/>
        <rFont val="Arial Narrow"/>
        <family val="2"/>
      </rPr>
      <t xml:space="preserve">, z toho: </t>
    </r>
  </si>
  <si>
    <r>
      <t xml:space="preserve">prostředky ESF na projekt "Koordinace a řízení IPRÚ Olomouc, Jesenicko a Šumpersko", </t>
    </r>
    <r>
      <rPr>
        <b/>
        <sz val="8"/>
        <rFont val="Arial Narrow"/>
        <family val="2"/>
      </rPr>
      <t>org. 4960</t>
    </r>
  </si>
  <si>
    <r>
      <t xml:space="preserve">prostředky státního rozpočtu na projekt "Koordinace a řízení IPRÚ Olomouc, Jesenicko a Šumpersko", </t>
    </r>
    <r>
      <rPr>
        <b/>
        <sz val="8"/>
        <rFont val="Arial Narrow"/>
        <family val="2"/>
      </rPr>
      <t>org. 4960</t>
    </r>
  </si>
  <si>
    <r>
      <t>ÚZ 00606</t>
    </r>
    <r>
      <rPr>
        <sz val="8"/>
        <rFont val="Arial Narrow"/>
        <family val="2"/>
      </rPr>
      <t xml:space="preserve"> Olomoucký kraj na krytí ztráty tržeb MHD</t>
    </r>
  </si>
  <si>
    <r>
      <t>skutečnost 2010:</t>
    </r>
    <r>
      <rPr>
        <sz val="8"/>
        <rFont val="Arial Narrow"/>
        <family val="2"/>
      </rPr>
      <t xml:space="preserve"> FRB klasický 19.453.802,53 Kč; FRB povodňový 6.979,-- Kč</t>
    </r>
  </si>
  <si>
    <r>
      <t>ÚZ 98116</t>
    </r>
    <r>
      <rPr>
        <sz val="8"/>
        <rFont val="Arial Narrow"/>
        <family val="2"/>
      </rPr>
      <t xml:space="preserve"> MF ČR na výkon státní správy v oblasti sociálních služeb</t>
    </r>
  </si>
  <si>
    <r>
      <t xml:space="preserve">ÚZ 00500 </t>
    </r>
    <r>
      <rPr>
        <sz val="8"/>
        <rFont val="Arial Narrow"/>
        <family val="2"/>
      </rPr>
      <t>v rámci programu Podpora zkvalitnění služeb turistických IC na projekt "Olomouc v kostce"</t>
    </r>
  </si>
  <si>
    <r>
      <t>ÚZ 00501</t>
    </r>
    <r>
      <rPr>
        <sz val="8"/>
        <rFont val="Arial Narrow"/>
        <family val="2"/>
      </rPr>
      <t xml:space="preserve"> na projekt EUROPE DIRECT</t>
    </r>
  </si>
  <si>
    <r>
      <t xml:space="preserve">ÚZ 00550 </t>
    </r>
    <r>
      <rPr>
        <sz val="8"/>
        <rFont val="Arial Narrow"/>
        <family val="2"/>
      </rPr>
      <t>pro SLMO na hospodaření v lesích na území Olomouckého kraje</t>
    </r>
  </si>
  <si>
    <r>
      <t xml:space="preserve">ÚZ 00008 </t>
    </r>
    <r>
      <rPr>
        <sz val="8"/>
        <rFont val="Arial Narrow"/>
        <family val="2"/>
      </rPr>
      <t>na zajištění akceschopnosti JSDH obcí</t>
    </r>
  </si>
  <si>
    <r>
      <t xml:space="preserve">ÚZ 00018 </t>
    </r>
    <r>
      <rPr>
        <sz val="8"/>
        <rFont val="Arial Narrow"/>
        <family val="2"/>
      </rPr>
      <t>pro JSDH na výdaje, vzniklé v souvislosti s povodněmi v 05 a 06/2010</t>
    </r>
  </si>
  <si>
    <r>
      <t>ÚZ 14004</t>
    </r>
    <r>
      <rPr>
        <sz val="8"/>
        <rFont val="Arial Narrow"/>
        <family val="2"/>
      </rPr>
      <t xml:space="preserve"> MV ČR pro JSDH na odbornou přípravu  </t>
    </r>
  </si>
  <si>
    <r>
      <t>ÚZ 98006</t>
    </r>
    <r>
      <rPr>
        <sz val="8"/>
        <rFont val="Arial Narrow"/>
        <family val="2"/>
      </rPr>
      <t xml:space="preserve"> MF ČR pro JSDH na výdaje, vzniklé v souvislosti s povodněmi v 05 a 06/2010</t>
    </r>
  </si>
  <si>
    <r>
      <t>ÚZ 32133006</t>
    </r>
    <r>
      <rPr>
        <sz val="8"/>
        <rFont val="Arial Narrow"/>
        <family val="2"/>
      </rPr>
      <t xml:space="preserve"> prostředky ČR na projekt "Dejme šanci přírodě - interaktivní výuka přírodovědných předmětů na ZŠ"</t>
    </r>
  </si>
  <si>
    <r>
      <t>ÚZ 32533006</t>
    </r>
    <r>
      <rPr>
        <sz val="8"/>
        <rFont val="Arial Narrow"/>
        <family val="2"/>
      </rPr>
      <t xml:space="preserve"> prostředky EU na projekt "Dejme šanci přírodě - interaktivní výuka přírodovědných předmětů na ZŠ"</t>
    </r>
  </si>
  <si>
    <r>
      <t>ÚZ 32133006</t>
    </r>
    <r>
      <rPr>
        <sz val="8"/>
        <rFont val="Arial Narrow"/>
        <family val="2"/>
      </rPr>
      <t xml:space="preserve"> prostředky ČR na projekt "Zvyšování kvality vzdělávání mimořádně nadaných dětí na 1. stupni ZŠ"</t>
    </r>
  </si>
  <si>
    <r>
      <t>ÚZ 32533006</t>
    </r>
    <r>
      <rPr>
        <sz val="8"/>
        <rFont val="Arial Narrow"/>
        <family val="2"/>
      </rPr>
      <t xml:space="preserve"> prostředky EU na projekt "Zvyšování kvality vzdělávání mimořádně nadaných dětí na 1. stupni ZŠ"</t>
    </r>
  </si>
  <si>
    <r>
      <t>ÚZ 00002</t>
    </r>
    <r>
      <rPr>
        <sz val="8"/>
        <rFont val="Arial Narrow"/>
        <family val="2"/>
      </rPr>
      <t xml:space="preserve"> pro Hřbitovy města Olomouce na náklady spojené s označením hrobů na významných olomouckých</t>
    </r>
  </si>
  <si>
    <t xml:space="preserve"> </t>
  </si>
  <si>
    <t>v příjmech města (hospodářská činnost) zahrnut nájem ve výši                         4,5 mil. Kč + DPH (tj. 5.355 tis. Kč),                                                                                          st. dotace MZe ČR 25 110,00 Kč na činnost o odborného lesního hospodáře ÚZ 29008, dotace Olom. kraje 3 503 314,00 Kč  na hospodaření v lesích ÚZ 550, 18 560,00Kč na hospodaření v lesích                         ÚZ 327</t>
  </si>
  <si>
    <t>Pol.</t>
  </si>
  <si>
    <t>Organizace</t>
  </si>
  <si>
    <t>Služby</t>
  </si>
  <si>
    <t>Upravený rozpočet                 k 27.12.2010</t>
  </si>
  <si>
    <t>Upravený rozpočet                 k 28.12.2010</t>
  </si>
  <si>
    <t>TSMO, a. s.</t>
  </si>
  <si>
    <t>zimní údržba komunikací</t>
  </si>
  <si>
    <t>org. 105621</t>
  </si>
  <si>
    <t>opravy a údržba komunikací</t>
  </si>
  <si>
    <t>org. 10562</t>
  </si>
  <si>
    <t>mandátní smlouva</t>
  </si>
  <si>
    <t>org. 10569</t>
  </si>
  <si>
    <t>skládka materiálu</t>
  </si>
  <si>
    <t>org. 10563</t>
  </si>
  <si>
    <t>podzemní parkoviště</t>
  </si>
  <si>
    <t>org. 10564</t>
  </si>
  <si>
    <t>pasport MK</t>
  </si>
  <si>
    <t>org. 10565</t>
  </si>
  <si>
    <t>rozkopávky MK</t>
  </si>
  <si>
    <t>org. 10566</t>
  </si>
  <si>
    <t>výběr parkovného</t>
  </si>
  <si>
    <t>org. 10561</t>
  </si>
  <si>
    <t>DPMO, a. s.</t>
  </si>
  <si>
    <t>dopravní obslužnost</t>
  </si>
  <si>
    <t>org. 2671</t>
  </si>
  <si>
    <t xml:space="preserve">Veolia </t>
  </si>
  <si>
    <t>org. 2672</t>
  </si>
  <si>
    <t xml:space="preserve">Transport </t>
  </si>
  <si>
    <t>Morava, a. s.</t>
  </si>
  <si>
    <t>ostatní</t>
  </si>
  <si>
    <t>dotace tisku jízd. řádů</t>
  </si>
  <si>
    <t>org. 2673 (DPMO, Veolia Transport Morava, ČD)</t>
  </si>
  <si>
    <t>smluvní jízdné</t>
  </si>
  <si>
    <t>org. 2674 (DPMO, Veolia Transport Morava, ČD)</t>
  </si>
  <si>
    <t>objížďky, změny jízdních řádů</t>
  </si>
  <si>
    <t>org. 2675 (DPMO, Veolia Transport Morava, ČD)</t>
  </si>
  <si>
    <t>veřejné osvětlení a SSZ</t>
  </si>
  <si>
    <t>org. 10567</t>
  </si>
  <si>
    <t>pasport VO a SSZ</t>
  </si>
  <si>
    <t>org. 10568</t>
  </si>
  <si>
    <t>Celkem odbor dopravy</t>
  </si>
  <si>
    <t>11 - odb. vn. vztahů a informací</t>
  </si>
  <si>
    <t>udržování a opravy inform. systému                                             v přednádražním prostoru</t>
  </si>
  <si>
    <t>org. 1056</t>
  </si>
  <si>
    <t>kontrola tech. stavu a údržba veř. hřišť</t>
  </si>
  <si>
    <t xml:space="preserve">org. 1056 </t>
  </si>
  <si>
    <t>Celkem odbor vn. vztahů a inf.</t>
  </si>
  <si>
    <t>udržování  mobiliáře v přednádražním prostoru</t>
  </si>
  <si>
    <t>údržba veř. WC, Sokolská ul. - údržba mobiliáře</t>
  </si>
  <si>
    <t>Celkem odbor správy</t>
  </si>
  <si>
    <t>Výstaviště FLORA, a. s.</t>
  </si>
  <si>
    <t>Výstaviště Flora Olomouc, a. s.</t>
  </si>
  <si>
    <t>org. 1075</t>
  </si>
  <si>
    <t>sběr a svoz komunál. odpadů</t>
  </si>
  <si>
    <t>čistota města vč. státních komunikací</t>
  </si>
  <si>
    <t xml:space="preserve">org. 10561 </t>
  </si>
  <si>
    <t>Číslo pol.</t>
  </si>
  <si>
    <t>Název položky</t>
  </si>
  <si>
    <t>Návrh RMO 30. 11. 2009</t>
  </si>
  <si>
    <t>Snížení příjmů</t>
  </si>
  <si>
    <t>Schválený rozpočet                                   2010</t>
  </si>
  <si>
    <t>Plnění                                         k 31. 12. 2010</t>
  </si>
  <si>
    <t xml:space="preserve"> % plnění</t>
  </si>
  <si>
    <t>Poznámka - vztahuje se k upravenému rozpočtu</t>
  </si>
  <si>
    <t>daň z příjmů fyz. osob ze závislé činnosti</t>
  </si>
  <si>
    <t>daň z příjmů fyz. osob ze samost. výděl. činnosti</t>
  </si>
  <si>
    <t>daň z příjmů fyz. osob z kapitálových výnosů</t>
  </si>
  <si>
    <t>daň z příjmů práv. osob</t>
  </si>
  <si>
    <t>daň z příjmů práv. osob za obce (19 %)</t>
  </si>
  <si>
    <t xml:space="preserve">SLMO 1.285 tis. Kč  </t>
  </si>
  <si>
    <t>daň z přidané hodnoty</t>
  </si>
  <si>
    <t>daň z nemovitostí</t>
  </si>
  <si>
    <t>daně celkem</t>
  </si>
  <si>
    <t>poplatky za znečišťování ovzduší</t>
  </si>
  <si>
    <t>příjem prostřednictvím státního rozpočtu</t>
  </si>
  <si>
    <t>odvody za odnětí půdy ze ZPF</t>
  </si>
  <si>
    <t>jednorázový, neopakující se příjem prostřednictvím státního rozpočtu</t>
  </si>
  <si>
    <t>poplatky za odnětí pozemků plnění funkcí lesa</t>
  </si>
  <si>
    <t>poplatek za odstraňování komunálního odpadu</t>
  </si>
  <si>
    <t>poplatek ze psů</t>
  </si>
  <si>
    <t>poplatek za lázeňský nebo rekreační pobyt</t>
  </si>
  <si>
    <t>poplatek  za užívání veřejného prostranství</t>
  </si>
  <si>
    <t>poplatek ze vstupného</t>
  </si>
  <si>
    <t>poplatek z ubytovací kapacity</t>
  </si>
  <si>
    <t>poplatek za povolení vjezdu do vybraných míst</t>
  </si>
  <si>
    <t>poplatek za provozovaný výherní hrací přístroj</t>
  </si>
  <si>
    <t>část místního poplatku, která je z důvodu legislativní nejasnosti vedena na zvláštním účtu, z něhož může být v případě</t>
  </si>
  <si>
    <t xml:space="preserve">potřeby vrácena </t>
  </si>
  <si>
    <t>potřeby vrácena (org. 77 - videoloterní terminály a rulety)</t>
  </si>
  <si>
    <t>odvod výtěžku z provozování loterií</t>
  </si>
  <si>
    <t>příjmy za zkoušky z odborné způsobilosti od</t>
  </si>
  <si>
    <t>žadatelů o řidičské oprávnění</t>
  </si>
  <si>
    <t>ostatní odvody z vybraných činností a služeb j. n.</t>
  </si>
  <si>
    <t>likvidace autovraků - průběžně se odvádí SFŽP ČR</t>
  </si>
  <si>
    <t>správní poplatky - VHP</t>
  </si>
  <si>
    <t>správní poplatky</t>
  </si>
  <si>
    <t xml:space="preserve">odbor soc. pomoci 15 tis. Kč; odbor život. prostř. 460 tis. Kč; odbor agendy řidičů a mot. vozidel 15.800 tis. Kč                                    </t>
  </si>
  <si>
    <t xml:space="preserve">občanské průkazy)                                                  </t>
  </si>
  <si>
    <t xml:space="preserve">13.472.095,-- Kč;  stavební odbor 1.240.925,-- Kč; živnostenský odbor 2.365.115,-- Kč; odbor správy 6.439.850,--  Kč </t>
  </si>
  <si>
    <t xml:space="preserve">(matrika, cest. doklady,občanské průkazy); ekonomický odbor 35.590,-- Kč; odbor soc. služeb a zdravotnictví 1.620,-- Kč                                                  </t>
  </si>
  <si>
    <t>poplatky celkem</t>
  </si>
  <si>
    <t>Celkem tř. 1 - DAŇOVÉ PŘÍJMY</t>
  </si>
  <si>
    <t>příjmy z poskytování služeb a výrobků</t>
  </si>
  <si>
    <t xml:space="preserve">příjmy z jeslí                                                                                             </t>
  </si>
  <si>
    <t>Azylový dům</t>
  </si>
  <si>
    <t xml:space="preserve">Domov pro ženy a matky s dětmi                                                            </t>
  </si>
  <si>
    <t>tržba za kopírování na veřejné kopírce na Hynaisově ulici</t>
  </si>
  <si>
    <t xml:space="preserve">platby občanů za používání internetu </t>
  </si>
  <si>
    <t>matrika - provozní poplatek od obyvatelstva (sňatky)</t>
  </si>
  <si>
    <t>úhrada KÚ OK (fakturace odboru sociálních služeb a zdravotnictví  na základě smluv o zajištění poskytování</t>
  </si>
  <si>
    <t>sociálních služeb)</t>
  </si>
  <si>
    <t>úhrada KÚ OK (fakturace odboru životního prostředí za přípravu model. systému řízení kvality ovzduší města Olomouce)</t>
  </si>
  <si>
    <t>úhrady občanů za poskytování informací dle Zákona č. 106/1999 Sb., o svobodném přístupu k informacím</t>
  </si>
  <si>
    <t>příjmy z prodeje zboží</t>
  </si>
  <si>
    <t>odbor sociálních služeb a zdravotnictví - příjmy z prodeje tiskopisů receptů</t>
  </si>
  <si>
    <t>odvody příspěvkových organizací</t>
  </si>
  <si>
    <t>5.483 tis. Kč Moravské divadlo; 500 tis. Kč Hřbíitovy města Olomouce; 850 tis. Kč Moravská filharmonie</t>
  </si>
  <si>
    <t>příjmy z úroků</t>
  </si>
  <si>
    <t>příjmy z podílů na zisku a dividend</t>
  </si>
  <si>
    <t>sankční platby přijaté od jiných subjektů</t>
  </si>
  <si>
    <t>org. 03 - odbor koncepce a rozvoje - pokuty blokové ve správním řízení</t>
  </si>
  <si>
    <t>org. 30 - živnost. odbor ve správním řízení</t>
  </si>
  <si>
    <t>org. 303 - živnost. odbor - blokové pokuty</t>
  </si>
  <si>
    <t>Tererovo nám.</t>
  </si>
  <si>
    <t xml:space="preserve">Arionova kašna </t>
  </si>
  <si>
    <r>
      <t>ÚZ 608</t>
    </r>
    <r>
      <rPr>
        <sz val="10"/>
        <rFont val="Arial"/>
        <family val="2"/>
      </rPr>
      <t xml:space="preserve"> realizuje odbor vnějších vztahů a informací</t>
    </r>
  </si>
  <si>
    <t xml:space="preserve">Položka </t>
  </si>
  <si>
    <t>tř. 8 - financování</t>
  </si>
  <si>
    <t>v upraveném rozpočtu zapojen volný zůstatek na účtu fondu</t>
  </si>
  <si>
    <t>příjmy</t>
  </si>
  <si>
    <t>zdroje FRB celkem</t>
  </si>
  <si>
    <t>výdaje</t>
  </si>
  <si>
    <t xml:space="preserve">          výstavby</t>
  </si>
  <si>
    <t>výdaje FRB celkem</t>
  </si>
  <si>
    <r>
      <t>8115-</t>
    </r>
    <r>
      <rPr>
        <sz val="8"/>
        <rFont val="Arial CE"/>
        <family val="0"/>
      </rPr>
      <t xml:space="preserve">změna stavu na bank. účtech </t>
    </r>
  </si>
  <si>
    <r>
      <t>2141-</t>
    </r>
    <r>
      <rPr>
        <sz val="8"/>
        <rFont val="Arial CE"/>
        <family val="2"/>
      </rPr>
      <t>příjmy z úroků</t>
    </r>
  </si>
  <si>
    <r>
      <t>2460-</t>
    </r>
    <r>
      <rPr>
        <sz val="8"/>
        <rFont val="Arial CE"/>
        <family val="2"/>
      </rPr>
      <t>splátky půjček od obyvatelstva</t>
    </r>
  </si>
  <si>
    <r>
      <t>3611</t>
    </r>
    <r>
      <rPr>
        <sz val="8"/>
        <rFont val="Arial CE"/>
        <family val="0"/>
      </rPr>
      <t xml:space="preserve">-podpora individuální bytové </t>
    </r>
  </si>
  <si>
    <t xml:space="preserve">Upravený rozpočet                    k 16.11.2010                  </t>
  </si>
  <si>
    <t>%                plnění / čerpání</t>
  </si>
  <si>
    <t>částka 6.137.842,11 Kč převedena na EO jako účel. rezerva k řešení</t>
  </si>
  <si>
    <t>krizových situací</t>
  </si>
  <si>
    <t>Čerpání                                  k 31.12.2010</t>
  </si>
  <si>
    <t>Upravený rozpočet                         k 28.12.2010</t>
  </si>
  <si>
    <t>Čerpání                      k 31.12.2010</t>
  </si>
  <si>
    <t>Upravený rozpočet                             k 28.12.2010</t>
  </si>
  <si>
    <t>Čerpání                                 k 31.12.2010</t>
  </si>
  <si>
    <r>
      <t xml:space="preserve">ÚZ 33513234 </t>
    </r>
    <r>
      <rPr>
        <sz val="8"/>
        <rFont val="Arial Narrow"/>
        <family val="2"/>
      </rPr>
      <t>Evropský sociální fond na program "Lidské zdroje a zaměstnanost"</t>
    </r>
  </si>
  <si>
    <r>
      <t>ÚZ 13002</t>
    </r>
    <r>
      <rPr>
        <sz val="8"/>
        <rFont val="Arial Narrow"/>
        <family val="2"/>
      </rPr>
      <t xml:space="preserve"> MPSV ČR na úhradu pojistného pro osoby vykonávající veřejnou službu</t>
    </r>
  </si>
  <si>
    <r>
      <t>ÚZ 15065</t>
    </r>
    <r>
      <rPr>
        <sz val="8"/>
        <rFont val="Arial Narrow"/>
        <family val="2"/>
      </rPr>
      <t xml:space="preserve"> MŽP ČR pro ZOO Sv. Kopeček v rámci programu "Příspěvek zoologickým zahradám"</t>
    </r>
  </si>
  <si>
    <r>
      <t>ÚZ 32533123</t>
    </r>
    <r>
      <rPr>
        <sz val="8"/>
        <rFont val="Arial Narrow"/>
        <family val="2"/>
      </rPr>
      <t xml:space="preserve"> MŠMT ČR</t>
    </r>
    <r>
      <rPr>
        <b/>
        <sz val="8"/>
        <rFont val="Arial Narrow"/>
        <family val="2"/>
      </rPr>
      <t xml:space="preserve"> </t>
    </r>
    <r>
      <rPr>
        <sz val="8"/>
        <rFont val="Arial Narrow"/>
        <family val="2"/>
      </rPr>
      <t>na program "vzdělávání pro konkurenceschopnost, prioritní osa 1" - prostředky EU</t>
    </r>
  </si>
  <si>
    <r>
      <t>ÚZ 32133123</t>
    </r>
    <r>
      <rPr>
        <sz val="8"/>
        <rFont val="Arial Narrow"/>
        <family val="2"/>
      </rPr>
      <t xml:space="preserve"> MŠMT ČR</t>
    </r>
    <r>
      <rPr>
        <b/>
        <sz val="8"/>
        <rFont val="Arial Narrow"/>
        <family val="2"/>
      </rPr>
      <t xml:space="preserve"> </t>
    </r>
    <r>
      <rPr>
        <sz val="8"/>
        <rFont val="Arial Narrow"/>
        <family val="2"/>
      </rPr>
      <t>na program "vzdělávání pro konkurenceschopnost, prioritní osa 1" - prostředky SR</t>
    </r>
  </si>
  <si>
    <r>
      <t>ÚZ 53515319</t>
    </r>
    <r>
      <rPr>
        <sz val="8"/>
        <rFont val="Arial Narrow"/>
        <family val="2"/>
      </rPr>
      <t xml:space="preserve"> MŽP ČR na projekt "Ošetření dřevin v historických parcích" - zvláštní účet</t>
    </r>
  </si>
  <si>
    <r>
      <t xml:space="preserve">bez ÚZ, </t>
    </r>
    <r>
      <rPr>
        <sz val="8"/>
        <rFont val="Arial Narrow"/>
        <family val="2"/>
      </rPr>
      <t>Univerzita Palackého v Olomouci na projekt "Odborová prostupnost a modularizace studijních programů"</t>
    </r>
  </si>
  <si>
    <r>
      <t>ÚZ 4444</t>
    </r>
    <r>
      <rPr>
        <sz val="8"/>
        <rFont val="Arial Narrow"/>
        <family val="2"/>
      </rPr>
      <t xml:space="preserve"> Západočeská univerzita v Plzni na projekt "Plan4all"</t>
    </r>
  </si>
  <si>
    <r>
      <t xml:space="preserve">ÚZ 00200 </t>
    </r>
    <r>
      <rPr>
        <sz val="8"/>
        <rFont val="Arial Narrow"/>
        <family val="2"/>
      </rPr>
      <t>- Moravské divadlo 1.392 tis. Kč; Moravská filharmonie 304 tis. Kč</t>
    </r>
  </si>
  <si>
    <r>
      <t>ÚZ 00212</t>
    </r>
    <r>
      <rPr>
        <sz val="8"/>
        <rFont val="Arial Narrow"/>
        <family val="2"/>
      </rPr>
      <t xml:space="preserve"> (Moravská filharmonie - 150 tis. Kč Mezinárodní varhanní festival; 700 tis. Kč Dvořákova Olomouc; Divadlo</t>
    </r>
  </si>
  <si>
    <r>
      <t xml:space="preserve">ÚZ 00204 </t>
    </r>
    <r>
      <rPr>
        <sz val="8"/>
        <rFont val="Arial Narrow"/>
        <family val="2"/>
      </rPr>
      <t>pro KMO na plnění regionální funkce knihovny</t>
    </r>
  </si>
  <si>
    <t>ZŠ Heyerovského  - energetická opatření</t>
  </si>
  <si>
    <t>Radar Display - 230 Sv. Kopeček - ul. Pplk. Sochora</t>
  </si>
  <si>
    <r>
      <t>realizuje odbor vnějších vztahů a informací</t>
    </r>
  </si>
  <si>
    <t>navýšení: účelová  dotace MK ČR 3 600 000,00 Kč na provoz divadla                                   ÚZ 34352, dotace Olomouckého kraje 1 392 000,00 Kč                                              ÚZ 200, navýšení příspěvku na provoz 5 849 728,00 Kč</t>
  </si>
  <si>
    <t>Upravený rozpočet                              k 28.12.2010</t>
  </si>
  <si>
    <t>ZOO Sv. Kopeček - pavilon pro levharty mandžuské</t>
  </si>
  <si>
    <t>ÚZ 32133006 realizuje odbor školství</t>
  </si>
  <si>
    <t>ÚZ 32533006 realizuje odbor školství</t>
  </si>
  <si>
    <t>FZŠ Hálkova - projekt "Dejme šanci přírodě"</t>
  </si>
  <si>
    <t>Příloha č. 9 k vyhlášce č. 52/2008 Sb.</t>
  </si>
  <si>
    <t>Statutární město Olomouc</t>
  </si>
  <si>
    <t>termín odevzdání: 5. 2. 2011</t>
  </si>
  <si>
    <t xml:space="preserve">Dotace pro SDH </t>
  </si>
  <si>
    <t xml:space="preserve">Finanční vypořádání dotací a návratných finančních výpomocí poskytnutých obcím, dobrovolným svazkům obcí,  </t>
  </si>
  <si>
    <t>příjemcům dotace na poskytování sociálních služeb prostřednictvím kraje nebo hlavního města Prahy</t>
  </si>
  <si>
    <t xml:space="preserve">              spolufinancované z rozpočtu Evropské unie a z prostředků finančních mechanismů </t>
  </si>
  <si>
    <t>v Kč na dvě desetinná místa</t>
  </si>
  <si>
    <t>Čj.</t>
  </si>
  <si>
    <t>účelový
znak</t>
  </si>
  <si>
    <t>Ukazatel</t>
  </si>
  <si>
    <t>Čerpáno
k 31.12.2010</t>
  </si>
  <si>
    <t>Skutečně
použito 
k 31.12.2010</t>
  </si>
  <si>
    <t xml:space="preserve">Vratka dotací
a návratných 
finančních 
výpomocí
při finančním 
vypořádání
</t>
  </si>
  <si>
    <t>a</t>
  </si>
  <si>
    <t>b</t>
  </si>
  <si>
    <t>c</t>
  </si>
  <si>
    <t xml:space="preserve"> 5  = 2 - 3 - 4</t>
  </si>
  <si>
    <t>A.1. Neinvestiční dotace celkem</t>
  </si>
  <si>
    <t>v tom:</t>
  </si>
  <si>
    <t>Dotace JSDH</t>
  </si>
  <si>
    <t>Povodně 2010 - SDHO</t>
  </si>
  <si>
    <t>A.4. Dotace a  návratné finanční výpomoci celkem
    (A.1. + A.2. + A.3.)</t>
  </si>
  <si>
    <t>Vysvětlivky:</t>
  </si>
  <si>
    <t>ve sloupci a) se vyplňují údaje jen u dotací z kapitoly Všeobecná pokladní správa a z kapitoly Operace státních finančních aktiv</t>
  </si>
  <si>
    <t>ve sloupci c) jednotlivým titulem se rozumí  účel stanovený v rozhodnutí, event. v dohodě nebo smlouvě  o poskytnutí dotace nebo návratné finanční výpomoci</t>
  </si>
  <si>
    <t>sloupec 1 - uvádí se výše dotace nebo návratné finanční výpomoci stanovená v rozhodnutí event. dohodě nebo smlouvě o poskytnutí dotace nebo návratné finanční výpomoci</t>
  </si>
  <si>
    <t>sloupec 2 - uvádí se výše dotace nebo návratné finanční výpomoci převedené poskytovatelem prostřednictvím příslušného kraje nebo hlavního města Prahy na účet příjemce k 31.12.2…</t>
  </si>
  <si>
    <t>sloupec 3 - vyplňuje se, pokud příjemce provedl vratku dotace nebo návratné finanční výpomoci, případně její části již v průběhu roku, za který se provádí finanční vypořádání,</t>
  </si>
  <si>
    <t xml:space="preserve"> na účet kraje nebo hlavního města Prahy </t>
  </si>
  <si>
    <t>sloupec 4 - uvádí se výše skutečně použitých prostředků příjemcem z poskytnuté dotace nebo návratné finanční výpomoci k 31.12.2…</t>
  </si>
  <si>
    <t>sloupec 5 - uvádí se vratka dotace nebo návratné finanční výpomoci při finančním vypořádání; rovná se sloupec 2 minus sloupec 3 minus sloupec 4</t>
  </si>
  <si>
    <t xml:space="preserve">Pozn.: dopad vratky návratné finanční výpomoci při finančním vypořádání do splátkového kalendáře je řešen v § 18 odst. 2 </t>
  </si>
  <si>
    <t>Sestavil:</t>
  </si>
  <si>
    <t>Silva Látalová</t>
  </si>
  <si>
    <t>Kontroloval:</t>
  </si>
  <si>
    <t>Bc. Vítězslava Vičarová</t>
  </si>
  <si>
    <t>Datum a podpis:</t>
  </si>
  <si>
    <r>
      <t>Příjemce</t>
    </r>
    <r>
      <rPr>
        <sz val="10"/>
        <rFont val="Arial CE"/>
        <family val="2"/>
      </rPr>
      <t>:</t>
    </r>
  </si>
  <si>
    <r>
      <t>Kraj nebo hlavní město Praha</t>
    </r>
    <r>
      <rPr>
        <vertAlign val="superscript"/>
        <sz val="10"/>
        <rFont val="Arial CE"/>
        <family val="0"/>
      </rPr>
      <t>1</t>
    </r>
    <r>
      <rPr>
        <sz val="10"/>
        <rFont val="Arial CE"/>
        <family val="2"/>
      </rPr>
      <t xml:space="preserve">: </t>
    </r>
    <r>
      <rPr>
        <b/>
        <sz val="10"/>
        <rFont val="Arial CE"/>
        <family val="0"/>
      </rPr>
      <t>Olomoucký</t>
    </r>
  </si>
  <si>
    <r>
      <t>Část A.</t>
    </r>
    <r>
      <rPr>
        <sz val="9"/>
        <rFont val="Arial CE"/>
        <family val="2"/>
      </rPr>
      <t xml:space="preserve"> Finanční vypořádání dotací a návratných finančních výpomocí poskytnutých ze státního rozpočtu s výjimkou dotací na projekty </t>
    </r>
  </si>
  <si>
    <r>
      <t xml:space="preserve">Vráceno 
v průběhu roku
</t>
    </r>
    <r>
      <rPr>
        <sz val="10"/>
        <rFont val="Arial CE"/>
        <family val="2"/>
      </rPr>
      <t xml:space="preserve">na
účet kraje
</t>
    </r>
  </si>
  <si>
    <r>
      <t>A.2.</t>
    </r>
    <r>
      <rPr>
        <sz val="10"/>
        <color indexed="12"/>
        <rFont val="Arial CE"/>
        <family val="2"/>
      </rPr>
      <t xml:space="preserve"> </t>
    </r>
    <r>
      <rPr>
        <sz val="10"/>
        <rFont val="Arial CE"/>
        <family val="2"/>
      </rPr>
      <t>Investiční dotace celkem</t>
    </r>
  </si>
  <si>
    <r>
      <t>A.3.</t>
    </r>
    <r>
      <rPr>
        <sz val="10"/>
        <color indexed="12"/>
        <rFont val="Arial CE"/>
        <family val="2"/>
      </rPr>
      <t xml:space="preserve"> </t>
    </r>
    <r>
      <rPr>
        <sz val="10"/>
        <rFont val="Arial CE"/>
        <family val="2"/>
      </rPr>
      <t>Návratná finanční výpomoc celkem</t>
    </r>
  </si>
  <si>
    <r>
      <t>1</t>
    </r>
    <r>
      <rPr>
        <sz val="9"/>
        <rFont val="Arial CE"/>
        <family val="0"/>
      </rPr>
      <t>uvádí se kraj, prostřednictvím kterého byla poskytnuta dotace správcem kapitoly státního rozpočtu</t>
    </r>
  </si>
  <si>
    <t>termín odevzdání: 15. 2. 2011</t>
  </si>
  <si>
    <t>Volby do Poslanecké sněmovny PČR</t>
  </si>
  <si>
    <t>Volby do 1/3 Senátu PČR a zastupitelstev obcí</t>
  </si>
  <si>
    <t>Sčítání lidu</t>
  </si>
  <si>
    <t>Sociálně právní ochrana dětí</t>
  </si>
  <si>
    <t>Státní správa v oblasti sociálních služeb</t>
  </si>
  <si>
    <r>
      <t xml:space="preserve">Příjemce: </t>
    </r>
    <r>
      <rPr>
        <b/>
        <sz val="10"/>
        <rFont val="Arial CE"/>
        <family val="0"/>
      </rPr>
      <t>Statutární město Olomouc</t>
    </r>
  </si>
  <si>
    <r>
      <t xml:space="preserve">Kapitola: </t>
    </r>
    <r>
      <rPr>
        <b/>
        <sz val="10"/>
        <rFont val="Arial CE"/>
        <family val="0"/>
      </rPr>
      <t>Ministerstvo financí ČR</t>
    </r>
  </si>
  <si>
    <t>Dotace pro Moravské divadlo Olomouc</t>
  </si>
  <si>
    <t>Orlák - dětské hřiště</t>
  </si>
  <si>
    <t>Radíkovská ul. - přechod pro C</t>
  </si>
  <si>
    <t>Hněvotínská ul. - přechod pro chodce</t>
  </si>
  <si>
    <t>Litovelská</t>
  </si>
  <si>
    <t>Topolany - cyklostezka</t>
  </si>
  <si>
    <t>ZŠ Nedvědova - energetická opatření</t>
  </si>
  <si>
    <t>ZŠ a MŠ Petříkova  - energetická opatření</t>
  </si>
  <si>
    <t>ZŠ a MŠ Řezníčkova  - energetická opatření</t>
  </si>
  <si>
    <t>ZŠ Rožňavská - energetická opatření</t>
  </si>
  <si>
    <t>ZŠ Tř. Spojenců - vybudování učebny pro školní družinu</t>
  </si>
  <si>
    <t>ZŠ Stupkova - energetická opatření</t>
  </si>
  <si>
    <t>ZŠ Zeyerova - energetická opatření</t>
  </si>
  <si>
    <t>ZŠ Zeyerova - sportujeme společně</t>
  </si>
  <si>
    <t>44 - odbor evropských projektů</t>
  </si>
  <si>
    <t>Odbory celkem</t>
  </si>
  <si>
    <t>realizuje odbor životního prostředí</t>
  </si>
  <si>
    <t>Výkup nebytové jednotky z vlastnictví Duha Chronos</t>
  </si>
  <si>
    <t>Výkup pozemků v k. ú. Nové Sady</t>
  </si>
  <si>
    <t>Výkup nebytové jednotky v k. ú. Nové Sady</t>
  </si>
  <si>
    <t>Zimní stadion - pořízení turniketů</t>
  </si>
  <si>
    <t>ZOO Olomouc - informační systém</t>
  </si>
  <si>
    <t xml:space="preserve">Mezisoučet </t>
  </si>
  <si>
    <t>D - ostatní nákup dlouhodobého majetku - realizuje odbor koncepce a rozvoje</t>
  </si>
  <si>
    <t>D - ostatní nákup dlouhodobého nehmotného majetku - realizuje odbor koncepce a rozvoje</t>
  </si>
  <si>
    <t>Aktualizace cenové mapy</t>
  </si>
  <si>
    <t>Holický les</t>
  </si>
  <si>
    <t>Model dopravy města Olomouce</t>
  </si>
  <si>
    <t>Pořízení nového územního plánu</t>
  </si>
  <si>
    <t>ÚZ 36117870</t>
  </si>
  <si>
    <t>Poznámka: * v případě přijatého úvěru v cizí měně se uvádí údaj  v cizí měně</t>
  </si>
  <si>
    <t xml:space="preserve">Vypracoval: </t>
  </si>
  <si>
    <t>Schválil:</t>
  </si>
  <si>
    <t>Datum:</t>
  </si>
  <si>
    <t>Razítko obecního úřadu:</t>
  </si>
  <si>
    <t>Ing. Jana Dokoupilová, 585 513 255</t>
  </si>
  <si>
    <t>Bc. Vítězslava Vičarová, 585 513 315</t>
  </si>
  <si>
    <r>
      <t xml:space="preserve">Obec, </t>
    </r>
    <r>
      <rPr>
        <b/>
        <strike/>
        <sz val="11"/>
        <rFont val="Arial CE"/>
        <family val="0"/>
      </rPr>
      <t>svazek obcí</t>
    </r>
    <r>
      <rPr>
        <b/>
        <sz val="11"/>
        <rFont val="Arial CE"/>
        <family val="2"/>
      </rPr>
      <t>: Statutární město Olomouc</t>
    </r>
  </si>
  <si>
    <t>Tabulka č.1d</t>
  </si>
  <si>
    <t>Obec (DSO):</t>
  </si>
  <si>
    <t>Statutátní město Olomouc</t>
  </si>
  <si>
    <t>Přehled o komunálních obligacích emitovaných obcemi v roce 2010</t>
  </si>
  <si>
    <t>(v mil. Kč)</t>
  </si>
  <si>
    <t>Úroková sazba</t>
  </si>
  <si>
    <t>Obec</t>
  </si>
  <si>
    <t>Rok</t>
  </si>
  <si>
    <t>Povoleno</t>
  </si>
  <si>
    <t>Emitováno</t>
  </si>
  <si>
    <t>Splatnost</t>
  </si>
  <si>
    <t>Účel použití</t>
  </si>
  <si>
    <t>Zadluženost k 31.12.2010</t>
  </si>
  <si>
    <t>5</t>
  </si>
  <si>
    <t>O b e c  (DSO)   c e l k e m</t>
  </si>
  <si>
    <t>Vypracoval:</t>
  </si>
  <si>
    <t>Ing. Jana Dokoupilová</t>
  </si>
  <si>
    <r>
      <t>6171</t>
    </r>
    <r>
      <rPr>
        <sz val="8"/>
        <rFont val="Arial CE"/>
        <family val="2"/>
      </rPr>
      <t>-činnost místní správy</t>
    </r>
  </si>
  <si>
    <t xml:space="preserve">Poznámka </t>
  </si>
  <si>
    <t>FZŠ Tererovo nám. - energetická opatření</t>
  </si>
  <si>
    <t>ZŠ Zeyerova  - energetická opatření</t>
  </si>
  <si>
    <t>MŠ I. Hermanna - energetická opatření</t>
  </si>
  <si>
    <t>Upravený rozpočet                         k 28.12.2011</t>
  </si>
  <si>
    <t>Čerpání                         k 31.12.2010</t>
  </si>
  <si>
    <t>Knihovna města Olomouce</t>
  </si>
  <si>
    <t>3314-5331-1180</t>
  </si>
  <si>
    <t>Hřbitovy města Olomouce</t>
  </si>
  <si>
    <t>3632-5331-1650</t>
  </si>
  <si>
    <t>Správa lesů města Olomouce</t>
  </si>
  <si>
    <t>1031-5331-1780</t>
  </si>
  <si>
    <t>CELKEM přísp. organizace</t>
  </si>
  <si>
    <t>sloupec 5 - vyplňuje se, pokud příjemce uplatňuje požadavek na doplatek dotace na výkon SPOD</t>
  </si>
  <si>
    <t>Počet případů k 31.12.2010</t>
  </si>
  <si>
    <t>Počet pracovníků                      k 31.12.2010</t>
  </si>
  <si>
    <t>sloupec 1 - uvádí se účelový znak dotace</t>
  </si>
  <si>
    <t>sloupec 2 - uvádí se evidovaný počet případů k 31.12.2010, resp. k 1.1.2011 (počet spisů Om, spisy Nom a počty žadatelů o náhradní rodinnou péči)</t>
  </si>
  <si>
    <t xml:space="preserve">sloupec 3 - uvádí se počet pracovníků obecního úřadu na úseku sociálně-právní ochrany dětí </t>
  </si>
  <si>
    <t>údaje musí vycházet z ročních statistických výkazů V (MPSV) 20-01 o výkonu sociálně právní ochrany dětí</t>
  </si>
  <si>
    <t>Sestavil: Ing. Hájková Šárka</t>
  </si>
  <si>
    <t>Datum a podpis: 28. 01. 2011</t>
  </si>
  <si>
    <t>Tabulka 5a)</t>
  </si>
  <si>
    <t>Kraj:    Olomoucký</t>
  </si>
  <si>
    <t xml:space="preserve">Obec:  Statutární město Olomouc  </t>
  </si>
  <si>
    <t>Finanční vypořádání dotace SPOD za rok 2010</t>
  </si>
  <si>
    <t>Výdaje</t>
  </si>
  <si>
    <t>mzdové náklady (5011)</t>
  </si>
  <si>
    <t>odvody na sociální pojištění (5031)</t>
  </si>
  <si>
    <t>odvody na zdravotní pojištění (5032)</t>
  </si>
  <si>
    <t>školení a vzdělávání (5167)</t>
  </si>
  <si>
    <t>jízdní výdaje (cestovné, pohonné hmoty) (5173)</t>
  </si>
  <si>
    <t>provozní výdaje (plyn, el. energie ...) (5153,5154 ...)</t>
  </si>
  <si>
    <t>nájemné (5164)</t>
  </si>
  <si>
    <t>kancelářské potřeby (5139)</t>
  </si>
  <si>
    <t xml:space="preserve">nákup kancelářského zařízení (5137) </t>
  </si>
  <si>
    <t>služby telekomunikací(5162)</t>
  </si>
  <si>
    <t>poštovné (5161)</t>
  </si>
  <si>
    <t>nákup ostatních služeb (5169)</t>
  </si>
  <si>
    <t>knihy,tisk (5136)</t>
  </si>
  <si>
    <t>účastnické poplatky na konference (5176)</t>
  </si>
  <si>
    <t>Poskytnutá dotace k 31.12. 2010</t>
  </si>
  <si>
    <t>Pozn: V případě potřeby doplňte další výdaje</t>
  </si>
  <si>
    <t>Sestavil: Silva Látalová</t>
  </si>
  <si>
    <t>Datum a podpis: 31. 01. 2011</t>
  </si>
  <si>
    <t xml:space="preserve">Tel:  585 513 325    </t>
  </si>
  <si>
    <t xml:space="preserve">Mail: silva.latalova@olomouc.eu    </t>
  </si>
  <si>
    <r>
      <t>6171-</t>
    </r>
    <r>
      <rPr>
        <sz val="8"/>
        <rFont val="Arial CE"/>
        <family val="2"/>
      </rPr>
      <t>činnost místni správy</t>
    </r>
  </si>
  <si>
    <r>
      <t>6330-</t>
    </r>
    <r>
      <rPr>
        <sz val="8"/>
        <rFont val="Arial CE"/>
        <family val="2"/>
      </rPr>
      <t>převody vlastním fondům v rozpočtech územní úrovně</t>
    </r>
  </si>
  <si>
    <r>
      <t>5345-</t>
    </r>
    <r>
      <rPr>
        <sz val="8"/>
        <rFont val="Arial CE"/>
        <family val="2"/>
      </rPr>
      <t>převody vlastním rozpočtovým účtům</t>
    </r>
  </si>
  <si>
    <r>
      <t>5901-</t>
    </r>
    <r>
      <rPr>
        <sz val="8"/>
        <rFont val="Arial CE"/>
        <family val="2"/>
      </rPr>
      <t>nespecifikované rezervy</t>
    </r>
  </si>
  <si>
    <t>% čerpání</t>
  </si>
  <si>
    <t>RMO                            9.2.2010</t>
  </si>
  <si>
    <t>RMO                                2.3.2010</t>
  </si>
  <si>
    <t>RMO                          9.3.2010</t>
  </si>
  <si>
    <t>RMO                             23.3.2010</t>
  </si>
  <si>
    <t>RMO                                    6.4.2010</t>
  </si>
  <si>
    <t>C - nestavební investice</t>
  </si>
  <si>
    <t>Aquapark Olomouc</t>
  </si>
  <si>
    <t>navýšení: dotace Olomouc. kraje 850 000,00 Kč ÚZ 212, dotace Olomouc. kraje 95 000,00 Kč ÚZ 34 070,  dotace Olomouc. kraje                           304 000,00 Kč ÚZ 200, dotace MK ČR 570 000,00 Kč na provoz Moravské filharmonie ÚZ 34352, navýšení příspěvku na provoz                         845 000,00 Kč</t>
  </si>
  <si>
    <t>navýšení: dotace MŽP ČR ve výši 2 155 074,00 Kč - ÚZ 15065</t>
  </si>
  <si>
    <t>navýšení: dotace Olomouc. kraje 2 251 088,00 Kč na zajištění region. funkcí knihoven ÚZ 204</t>
  </si>
  <si>
    <t>navýšení: dotace Olomouckého kraje 25 000,00 Kč - ÚZ 2</t>
  </si>
  <si>
    <t>§</t>
  </si>
  <si>
    <t>pol.</t>
  </si>
  <si>
    <t>Název stavby</t>
  </si>
  <si>
    <t>Schválený rozpočet                              na rok 2010</t>
  </si>
  <si>
    <t xml:space="preserve">Schválený rozpočet                              na rok 2010                            </t>
  </si>
  <si>
    <t>RMO                             26.1.2010</t>
  </si>
  <si>
    <t>RMO                              9.2.2010</t>
  </si>
  <si>
    <t>RMO                                 23.2.2010</t>
  </si>
  <si>
    <t>ZŠ Petřkova - rekonstrukce víceúčelového hřiště</t>
  </si>
  <si>
    <t>ZŠ Olomouc, Stupkova ul. - úprava školní jídelny</t>
  </si>
  <si>
    <t>ZŠ Zeyerova - příspěvek na pořízení parního kotle</t>
  </si>
  <si>
    <t>ZŠ Zeyerova - pořízení klimatizace do školní jídelny</t>
  </si>
  <si>
    <t>Sdružení Jitro - příspěvek na elektronické zabezpečení objektu</t>
  </si>
  <si>
    <t>SK Sigma, a. s. - Pozitivní diváctví a bezpečný stadion - II. etapa</t>
  </si>
  <si>
    <r>
      <t xml:space="preserve">realizuje odbor školství - </t>
    </r>
    <r>
      <rPr>
        <b/>
        <sz val="10"/>
        <rFont val="Arial"/>
        <family val="2"/>
      </rPr>
      <t>ÚZ 32133006</t>
    </r>
  </si>
  <si>
    <r>
      <t xml:space="preserve">realizuje odbor školství - </t>
    </r>
    <r>
      <rPr>
        <b/>
        <sz val="10"/>
        <rFont val="Arial"/>
        <family val="2"/>
      </rPr>
      <t>ÚZ 32533006</t>
    </r>
  </si>
  <si>
    <r>
      <t xml:space="preserve">realizuje odbor životního prostředí - </t>
    </r>
    <r>
      <rPr>
        <b/>
        <sz val="10"/>
        <rFont val="Arial"/>
        <family val="2"/>
      </rPr>
      <t>ÚZ 29516</t>
    </r>
  </si>
  <si>
    <t xml:space="preserve">Schválený rozpočet                              na rok 2010                        </t>
  </si>
  <si>
    <t>RMO                                26.1.2010</t>
  </si>
  <si>
    <t>Upravený rozpočet                      k 27.4.2010</t>
  </si>
  <si>
    <t>F - realizuje MOVO, a. s. - orj. 70</t>
  </si>
  <si>
    <t>F - inv. akce MOVO, a. s. - orj. 70</t>
  </si>
  <si>
    <t>ČOV - obnova technologického zařízení</t>
  </si>
  <si>
    <t>realizuje MOVO, a. s.</t>
  </si>
  <si>
    <t>Projektová dokumentace</t>
  </si>
  <si>
    <t>Propojení vodovodů U Morávky - Dolní Hejčínská</t>
  </si>
  <si>
    <t xml:space="preserve">Rekonstrukce veřejných částí kanalizačních přípojek </t>
  </si>
  <si>
    <t>Šlechtitelů - prodloužení vodovodního řádu</t>
  </si>
  <si>
    <t>Zaměřování stokové sítě pro GIS</t>
  </si>
  <si>
    <t xml:space="preserve">Schválený rozpočet                              na rok 2010                               </t>
  </si>
  <si>
    <t>Černovír - vojenský hřbitov</t>
  </si>
  <si>
    <t>Darwinova - rekonstrukce komunikace a inž. sítí</t>
  </si>
  <si>
    <t>Dětská hřiště</t>
  </si>
  <si>
    <t>Foerstrova  - Svornosti - malá parkoviště</t>
  </si>
  <si>
    <t>Foerstrova - obslužný záliv</t>
  </si>
  <si>
    <t>Hamerská - okružní křiž. - chodník</t>
  </si>
  <si>
    <t>Jeremenkova - přednádražní prostor - IV. etapa</t>
  </si>
  <si>
    <t>U potoka - rekonstrukce komunikace</t>
  </si>
  <si>
    <t>U Staré Moravy - rekonstrukce komunikace a inž. sítí  vč. veřejného osvětlení</t>
  </si>
  <si>
    <t xml:space="preserve">Vazební věznice - parkoviště </t>
  </si>
  <si>
    <t>Velkomoravská - vnitroblok - parkoviště</t>
  </si>
  <si>
    <t xml:space="preserve">Veřejné osvětlení </t>
  </si>
  <si>
    <t>Vybudování parkovacích stání u Zenitu</t>
  </si>
  <si>
    <t>realizuje odbor majetkoprávní</t>
  </si>
  <si>
    <t>Výstavba přednádražního uzlu - ČD III. etapa</t>
  </si>
  <si>
    <t>Zikova - dětské hřiště</t>
  </si>
  <si>
    <t>Zimní stadion - rekonstrukce zázemí</t>
  </si>
  <si>
    <t>ZOO Olomouc - informační centrum</t>
  </si>
  <si>
    <t>Zprovoznění třídy MŠ Olomouc - Holice</t>
  </si>
  <si>
    <t>ZŠ Tererova - dětské hřiště</t>
  </si>
  <si>
    <t>ZŠ Heyrovského - ŠJ</t>
  </si>
  <si>
    <t xml:space="preserve">ZŠ Holečkova - II. etapa odstranění  poruch konstrukčního systému </t>
  </si>
  <si>
    <t xml:space="preserve">ZŠ Rožňavská - rekonstrukce hřiště </t>
  </si>
  <si>
    <t>Mezisoučet</t>
  </si>
  <si>
    <r>
      <t xml:space="preserve">ÚZ 608 </t>
    </r>
    <r>
      <rPr>
        <sz val="10"/>
        <rFont val="Arial"/>
        <family val="2"/>
      </rPr>
      <t>- realizuje odbor investic</t>
    </r>
  </si>
  <si>
    <t xml:space="preserve">Schválený rozpočet                              na rok 2010                             </t>
  </si>
  <si>
    <t>RMO                            23.2.2010</t>
  </si>
  <si>
    <t>RMO                           9.3.2010</t>
  </si>
  <si>
    <t>RMO                       23.3.2010</t>
  </si>
  <si>
    <t>Upravený rozpočet                   k 31.5.2010</t>
  </si>
  <si>
    <t>B - projektová dokumentace</t>
  </si>
  <si>
    <t>Bezručovy sady - lávka</t>
  </si>
  <si>
    <t>Bezručovy sady - dětské hřiště</t>
  </si>
  <si>
    <t>Bikepark Olomouc</t>
  </si>
  <si>
    <t>Budova MMOl - Hálkova 20 - energetická opatření</t>
  </si>
  <si>
    <t>Cyklostezka Hlušovice</t>
  </si>
  <si>
    <t>Černovír  - rekonstrukce a dobudování kanalizace</t>
  </si>
  <si>
    <t>Dolní náměstí - rekonstrukce</t>
  </si>
  <si>
    <t>DPS Slavonín</t>
  </si>
  <si>
    <t>Dvořákova ulice - vnitroblok</t>
  </si>
  <si>
    <t>Erenburgova - přípojky</t>
  </si>
  <si>
    <t>Fakulktní ZŠ Tererovo nám. 1 - energetická opatření</t>
  </si>
  <si>
    <t>Hamerská - okružní křižovatka - chodník</t>
  </si>
  <si>
    <t>Hany Kvapilové - rekonstrukce komunikace a inž. sítí</t>
  </si>
  <si>
    <t>Hejčínské louky - inline stezka</t>
  </si>
  <si>
    <t>Holice hřbitov - stavební úpravy</t>
  </si>
  <si>
    <t>Jantarová stezka - úsek Hodolanská - Libušina</t>
  </si>
  <si>
    <t>723</t>
  </si>
  <si>
    <t>Ječmínkova , Na Dílkách - rekonstrukce komunikace</t>
  </si>
  <si>
    <t>Kanalizace - rekonstrukce odlehčovací komory OK3A</t>
  </si>
</sst>
</file>

<file path=xl/styles.xml><?xml version="1.0" encoding="utf-8"?>
<styleSheet xmlns="http://schemas.openxmlformats.org/spreadsheetml/2006/main">
  <numFmts count="7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 ;\-#,##0\ "/>
    <numFmt numFmtId="165" formatCode="#,##0\ &quot;Kč&quot;"/>
    <numFmt numFmtId="166" formatCode="#,##0.00_ ;\-#,##0.00\ "/>
    <numFmt numFmtId="167" formatCode="#,##0.00\ &quot;Kč&quot;"/>
    <numFmt numFmtId="168" formatCode="#,##0.00\ _K_č"/>
    <numFmt numFmtId="169" formatCode="&quot;Yes&quot;;&quot;Yes&quot;;&quot;No&quot;"/>
    <numFmt numFmtId="170" formatCode="&quot;True&quot;;&quot;True&quot;;&quot;False&quot;"/>
    <numFmt numFmtId="171" formatCode="&quot;On&quot;;&quot;On&quot;;&quot;Off&quot;"/>
    <numFmt numFmtId="172" formatCode="#,##0.0"/>
    <numFmt numFmtId="173" formatCode="0.0"/>
    <numFmt numFmtId="174" formatCode="_-* #,##0\ _K_č_-;\-* #,##0\ _K_č_-;_-* &quot;-&quot;??\ _K_č_-;_-@_-"/>
    <numFmt numFmtId="175" formatCode="d/m/yy"/>
    <numFmt numFmtId="176" formatCode="#,##0\ _K_č"/>
    <numFmt numFmtId="177" formatCode="#\ ###\ ###\ ###"/>
    <numFmt numFmtId="178" formatCode="d/m\."/>
    <numFmt numFmtId="179" formatCode="#,##0_ ;[Red]\-#,##0\ "/>
    <numFmt numFmtId="180" formatCode="#,##0.000"/>
    <numFmt numFmtId="181" formatCode="_-* #,##0.0\ _K_č_-;\-* #,##0.0\ _K_č_-;_-* &quot;-&quot;??\ _K_č_-;_-@_-"/>
    <numFmt numFmtId="182" formatCode="#,##0.0000"/>
    <numFmt numFmtId="183" formatCode="#,##0.00000"/>
    <numFmt numFmtId="184" formatCode="&quot;Kč&quot;#,##0_);\(&quot;Kč&quot;#,##0\)"/>
    <numFmt numFmtId="185" formatCode="&quot;Kč&quot;#,##0_);[Red]\(&quot;Kč&quot;#,##0\)"/>
    <numFmt numFmtId="186" formatCode="&quot;Kč&quot;#,##0.00_);\(&quot;Kč&quot;#,##0.00\)"/>
    <numFmt numFmtId="187" formatCode="&quot;Kč&quot;#,##0.00_);[Red]\(&quot;Kč&quot;#,##0.00\)"/>
    <numFmt numFmtId="188" formatCode="_(&quot;Kč&quot;* #,##0_);_(&quot;Kč&quot;* \(#,##0\);_(&quot;Kč&quot;* &quot;-&quot;_);_(@_)"/>
    <numFmt numFmtId="189" formatCode="_(* #,##0_);_(* \(#,##0\);_(* &quot;-&quot;_);_(@_)"/>
    <numFmt numFmtId="190" formatCode="_(&quot;Kč&quot;* #,##0.00_);_(&quot;Kč&quot;* \(#,##0.00\);_(&quot;Kč&quot;* &quot;-&quot;??_);_(@_)"/>
    <numFmt numFmtId="191" formatCode="_(* #,##0.00_);_(* \(#,##0.00\);_(* &quot;-&quot;??_);_(@_)"/>
    <numFmt numFmtId="192" formatCode="0;[Red]0"/>
    <numFmt numFmtId="193" formatCode="#,##0.000000"/>
    <numFmt numFmtId="194" formatCode="#,##0.0000000"/>
    <numFmt numFmtId="195" formatCode="0.0%"/>
    <numFmt numFmtId="196" formatCode="0_ ;[Red]\-0\ "/>
    <numFmt numFmtId="197" formatCode="000\ 00"/>
    <numFmt numFmtId="198" formatCode="#.##0,"/>
    <numFmt numFmtId="199" formatCode="#.##00,"/>
    <numFmt numFmtId="200" formatCode="#.##,"/>
    <numFmt numFmtId="201" formatCode="#.#,"/>
    <numFmt numFmtId="202" formatCode="#,"/>
    <numFmt numFmtId="203" formatCode="#,###,"/>
    <numFmt numFmtId="204" formatCode="_-* #,##0.000\ _K_č_-;\-* #,##0.000\ _K_č_-;_-* &quot;-&quot;??\ _K_č_-;_-@_-"/>
    <numFmt numFmtId="205" formatCode="#,##0.0_ ;\-#,##0.0\ "/>
    <numFmt numFmtId="206" formatCode="#,##0,\x"/>
    <numFmt numFmtId="207" formatCode="#,##0\ &quot;kr&quot;;\-#,##0\ &quot;kr&quot;"/>
    <numFmt numFmtId="208" formatCode="#,##0\ &quot;kr&quot;;[Red]\-#,##0\ &quot;kr&quot;"/>
    <numFmt numFmtId="209" formatCode="#,##0.00\ &quot;kr&quot;;\-#,##0.00\ &quot;kr&quot;"/>
    <numFmt numFmtId="210" formatCode="#,##0.00\ &quot;kr&quot;;[Red]\-#,##0.00\ &quot;kr&quot;"/>
    <numFmt numFmtId="211" formatCode="_-* #,##0\ &quot;kr&quot;_-;\-* #,##0\ &quot;kr&quot;_-;_-* &quot;-&quot;\ &quot;kr&quot;_-;_-@_-"/>
    <numFmt numFmtId="212" formatCode="_-* #,##0\ _k_r_-;\-* #,##0\ _k_r_-;_-* &quot;-&quot;\ _k_r_-;_-@_-"/>
    <numFmt numFmtId="213" formatCode="_-* #,##0.00\ &quot;kr&quot;_-;\-* #,##0.00\ &quot;kr&quot;_-;_-* &quot;-&quot;??\ &quot;kr&quot;_-;_-@_-"/>
    <numFmt numFmtId="214" formatCode="_-* #,##0.00\ _k_r_-;\-* #,##0.00\ _k_r_-;_-* &quot;-&quot;??\ _k_r_-;_-@_-"/>
    <numFmt numFmtId="215" formatCode="[$-405]d\.\ mmmm\ yyyy"/>
    <numFmt numFmtId="216" formatCode="mmm/yyyy"/>
    <numFmt numFmtId="217" formatCode="d/m"/>
    <numFmt numFmtId="218" formatCode="dd/mm/yy"/>
    <numFmt numFmtId="219" formatCode="#,##0.00;[Red]#,##0.00"/>
    <numFmt numFmtId="220" formatCode="General_)"/>
    <numFmt numFmtId="221" formatCode="###,###,###"/>
    <numFmt numFmtId="222" formatCode="####"/>
    <numFmt numFmtId="223" formatCode="##\ ###\ ###"/>
    <numFmt numFmtId="224" formatCode="###,###,###.###"/>
    <numFmt numFmtId="225" formatCode="0.000"/>
  </numFmts>
  <fonts count="64">
    <font>
      <sz val="10"/>
      <name val="Arial"/>
      <family val="0"/>
    </font>
    <font>
      <u val="single"/>
      <sz val="10"/>
      <color indexed="12"/>
      <name val="Arial"/>
      <family val="0"/>
    </font>
    <font>
      <sz val="10"/>
      <name val="Arial CE"/>
      <family val="0"/>
    </font>
    <font>
      <u val="single"/>
      <sz val="10"/>
      <color indexed="36"/>
      <name val="Arial"/>
      <family val="0"/>
    </font>
    <font>
      <sz val="8"/>
      <name val="Arial CE"/>
      <family val="2"/>
    </font>
    <font>
      <sz val="10"/>
      <name val="Arial Narrow"/>
      <family val="2"/>
    </font>
    <font>
      <b/>
      <sz val="8"/>
      <name val="Arial CE"/>
      <family val="2"/>
    </font>
    <font>
      <sz val="10"/>
      <color indexed="10"/>
      <name val="Arial CE"/>
      <family val="2"/>
    </font>
    <font>
      <sz val="8"/>
      <name val="Arial"/>
      <family val="2"/>
    </font>
    <font>
      <b/>
      <sz val="8"/>
      <name val="Arial"/>
      <family val="2"/>
    </font>
    <font>
      <b/>
      <sz val="10"/>
      <name val="Arial CE"/>
      <family val="2"/>
    </font>
    <font>
      <sz val="8"/>
      <color indexed="8"/>
      <name val="Arial CE"/>
      <family val="2"/>
    </font>
    <font>
      <sz val="8"/>
      <color indexed="10"/>
      <name val="Arial"/>
      <family val="2"/>
    </font>
    <font>
      <sz val="8"/>
      <color indexed="12"/>
      <name val="Arial"/>
      <family val="2"/>
    </font>
    <font>
      <b/>
      <sz val="10"/>
      <name val="Arial"/>
      <family val="2"/>
    </font>
    <font>
      <sz val="8"/>
      <name val="Arial Narrow"/>
      <family val="2"/>
    </font>
    <font>
      <b/>
      <sz val="8"/>
      <name val="Arial Narrow"/>
      <family val="2"/>
    </font>
    <font>
      <b/>
      <sz val="10"/>
      <name val="Arial Narrow"/>
      <family val="2"/>
    </font>
    <font>
      <b/>
      <sz val="9"/>
      <name val="Arial Narrow"/>
      <family val="2"/>
    </font>
    <font>
      <b/>
      <sz val="10"/>
      <color indexed="10"/>
      <name val="Arial Narrow"/>
      <family val="2"/>
    </font>
    <font>
      <b/>
      <sz val="12"/>
      <color indexed="10"/>
      <name val="Arial Narrow"/>
      <family val="2"/>
    </font>
    <font>
      <sz val="7"/>
      <name val="Arial CE"/>
      <family val="2"/>
    </font>
    <font>
      <sz val="9"/>
      <name val="Arial Narrow"/>
      <family val="2"/>
    </font>
    <font>
      <sz val="10"/>
      <name val="Times New Roman"/>
      <family val="1"/>
    </font>
    <font>
      <b/>
      <sz val="10"/>
      <name val="Times New Roman"/>
      <family val="1"/>
    </font>
    <font>
      <sz val="11"/>
      <name val="Arial"/>
      <family val="2"/>
    </font>
    <font>
      <b/>
      <sz val="8"/>
      <name val="Tahoma"/>
      <family val="0"/>
    </font>
    <font>
      <sz val="8"/>
      <name val="Tahoma"/>
      <family val="0"/>
    </font>
    <font>
      <b/>
      <sz val="11"/>
      <name val="Arial"/>
      <family val="2"/>
    </font>
    <font>
      <b/>
      <sz val="8"/>
      <color indexed="10"/>
      <name val="Arial"/>
      <family val="2"/>
    </font>
    <font>
      <b/>
      <i/>
      <sz val="9"/>
      <name val="Arial CE"/>
      <family val="0"/>
    </font>
    <font>
      <sz val="9"/>
      <name val="Arial CE"/>
      <family val="2"/>
    </font>
    <font>
      <b/>
      <i/>
      <sz val="8"/>
      <name val="Arial CE"/>
      <family val="2"/>
    </font>
    <font>
      <sz val="9"/>
      <name val="Arial"/>
      <family val="2"/>
    </font>
    <font>
      <b/>
      <sz val="9"/>
      <name val="Arial"/>
      <family val="2"/>
    </font>
    <font>
      <sz val="7"/>
      <name val="Arial"/>
      <family val="2"/>
    </font>
    <font>
      <b/>
      <sz val="12"/>
      <name val="Arial"/>
      <family val="2"/>
    </font>
    <font>
      <b/>
      <sz val="9"/>
      <name val="Arial CE"/>
      <family val="0"/>
    </font>
    <font>
      <sz val="8"/>
      <color indexed="8"/>
      <name val="Arial"/>
      <family val="2"/>
    </font>
    <font>
      <b/>
      <i/>
      <sz val="8"/>
      <name val="Arial"/>
      <family val="2"/>
    </font>
    <font>
      <sz val="8"/>
      <color indexed="10"/>
      <name val="Arial Narrow"/>
      <family val="2"/>
    </font>
    <font>
      <sz val="8"/>
      <color indexed="14"/>
      <name val="Arial Narrow"/>
      <family val="2"/>
    </font>
    <font>
      <b/>
      <sz val="8"/>
      <color indexed="12"/>
      <name val="Arial Narrow"/>
      <family val="2"/>
    </font>
    <font>
      <u val="single"/>
      <sz val="8"/>
      <name val="Arial Narrow"/>
      <family val="2"/>
    </font>
    <font>
      <b/>
      <sz val="14"/>
      <name val="Arial"/>
      <family val="2"/>
    </font>
    <font>
      <sz val="10"/>
      <color indexed="12"/>
      <name val="Arial CE"/>
      <family val="2"/>
    </font>
    <font>
      <vertAlign val="superscript"/>
      <sz val="10"/>
      <name val="Arial CE"/>
      <family val="0"/>
    </font>
    <font>
      <i/>
      <sz val="10"/>
      <color indexed="10"/>
      <name val="Arial CE"/>
      <family val="0"/>
    </font>
    <font>
      <sz val="9"/>
      <color indexed="10"/>
      <name val="Arial CE"/>
      <family val="2"/>
    </font>
    <font>
      <vertAlign val="superscript"/>
      <sz val="9"/>
      <name val="Arial CE"/>
      <family val="0"/>
    </font>
    <font>
      <i/>
      <sz val="10"/>
      <name val="Times New Roman"/>
      <family val="1"/>
    </font>
    <font>
      <b/>
      <strike/>
      <sz val="10"/>
      <color indexed="10"/>
      <name val="Arial CE"/>
      <family val="0"/>
    </font>
    <font>
      <sz val="11"/>
      <name val="Arial CE"/>
      <family val="2"/>
    </font>
    <font>
      <b/>
      <strike/>
      <sz val="11"/>
      <name val="Arial CE"/>
      <family val="0"/>
    </font>
    <font>
      <b/>
      <sz val="11"/>
      <name val="Arial CE"/>
      <family val="2"/>
    </font>
    <font>
      <i/>
      <sz val="11"/>
      <color indexed="10"/>
      <name val="Arial CE"/>
      <family val="0"/>
    </font>
    <font>
      <b/>
      <u val="single"/>
      <sz val="12"/>
      <name val="Arial"/>
      <family val="2"/>
    </font>
    <font>
      <sz val="12"/>
      <name val="Arial"/>
      <family val="0"/>
    </font>
    <font>
      <u val="single"/>
      <sz val="12"/>
      <name val="Arial"/>
      <family val="2"/>
    </font>
    <font>
      <sz val="10"/>
      <color indexed="10"/>
      <name val="Arial Narrow"/>
      <family val="2"/>
    </font>
    <font>
      <b/>
      <sz val="12"/>
      <name val="Arial Narrow"/>
      <family val="2"/>
    </font>
    <font>
      <sz val="9"/>
      <color indexed="8"/>
      <name val="Arial Narrow"/>
      <family val="2"/>
    </font>
    <font>
      <b/>
      <sz val="14"/>
      <name val="Arial Narrow"/>
      <family val="2"/>
    </font>
    <font>
      <sz val="12"/>
      <name val="Arial Narrow"/>
      <family val="2"/>
    </font>
  </fonts>
  <fills count="9">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6">
    <border>
      <left/>
      <right/>
      <top/>
      <bottom/>
      <diagonal/>
    </border>
    <border>
      <left style="medium"/>
      <right style="medium"/>
      <top style="medium"/>
      <bottom style="medium"/>
    </border>
    <border>
      <left style="thin"/>
      <right style="thin"/>
      <top style="medium"/>
      <bottom style="mediu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medium"/>
      <bottom style="medium"/>
    </border>
    <border>
      <left style="thin"/>
      <right style="thin"/>
      <top style="medium"/>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style="thin"/>
      <right>
        <color indexed="63"/>
      </right>
      <top style="medium"/>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style="thin"/>
    </border>
    <border>
      <left style="medium"/>
      <right style="thin"/>
      <top style="thin"/>
      <bottom>
        <color indexed="63"/>
      </bottom>
    </border>
    <border>
      <left style="medium"/>
      <right style="thin"/>
      <top style="medium"/>
      <bottom>
        <color indexed="63"/>
      </bottom>
    </border>
    <border>
      <left style="thin"/>
      <right style="medium"/>
      <top style="medium"/>
      <bottom style="thin"/>
    </border>
    <border>
      <left style="thin"/>
      <right style="medium"/>
      <top style="thin"/>
      <bottom>
        <color indexed="63"/>
      </bottom>
    </border>
    <border>
      <left style="medium"/>
      <right>
        <color indexed="63"/>
      </right>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medium"/>
      <top style="medium"/>
      <bottom>
        <color indexed="63"/>
      </bottom>
    </border>
    <border>
      <left style="medium"/>
      <right style="medium"/>
      <top style="medium"/>
      <bottom style="thin"/>
    </border>
    <border>
      <left style="medium"/>
      <right>
        <color indexed="63"/>
      </right>
      <top style="medium"/>
      <bottom>
        <color indexed="63"/>
      </bottom>
    </border>
    <border>
      <left>
        <color indexed="63"/>
      </left>
      <right style="medium"/>
      <top style="medium"/>
      <bottom style="thin"/>
    </border>
    <border>
      <left style="medium"/>
      <right>
        <color indexed="63"/>
      </right>
      <top style="medium"/>
      <bottom style="double"/>
    </border>
    <border>
      <left>
        <color indexed="63"/>
      </left>
      <right style="thin"/>
      <top style="medium"/>
      <bottom style="double"/>
    </border>
    <border>
      <left>
        <color indexed="63"/>
      </left>
      <right style="medium"/>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color indexed="63"/>
      </left>
      <right style="thin"/>
      <top>
        <color indexed="63"/>
      </top>
      <bottom style="double"/>
    </border>
    <border>
      <left>
        <color indexed="63"/>
      </left>
      <right style="medium"/>
      <top>
        <color indexed="63"/>
      </top>
      <bottom style="double"/>
    </border>
    <border>
      <left style="thin"/>
      <right style="thin"/>
      <top style="double"/>
      <bottom style="medium"/>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double"/>
    </border>
    <border>
      <left style="thin"/>
      <right style="medium"/>
      <top style="thin"/>
      <bottom style="double"/>
    </border>
    <border>
      <left>
        <color indexed="63"/>
      </left>
      <right>
        <color indexed="63"/>
      </right>
      <top style="thin"/>
      <bottom style="double"/>
    </border>
    <border>
      <left style="medium"/>
      <right style="thin"/>
      <top>
        <color indexed="63"/>
      </top>
      <bottom style="mediu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3" fillId="0" borderId="0" applyNumberFormat="0" applyFill="0" applyBorder="0" applyAlignment="0" applyProtection="0"/>
  </cellStyleXfs>
  <cellXfs count="1418">
    <xf numFmtId="0" fontId="0" fillId="0" borderId="0" xfId="0" applyAlignment="1">
      <alignment/>
    </xf>
    <xf numFmtId="3" fontId="4" fillId="2" borderId="1" xfId="0" applyNumberFormat="1" applyFont="1" applyFill="1" applyBorder="1" applyAlignment="1">
      <alignment horizontal="center" vertical="center" wrapText="1"/>
    </xf>
    <xf numFmtId="3" fontId="4" fillId="2" borderId="1" xfId="33" applyNumberFormat="1" applyFont="1" applyFill="1" applyBorder="1" applyAlignment="1">
      <alignment horizontal="center" vertical="center" wrapText="1"/>
      <protection/>
    </xf>
    <xf numFmtId="0" fontId="4" fillId="0" borderId="0" xfId="0" applyFont="1" applyFill="1" applyBorder="1" applyAlignment="1">
      <alignment vertical="center"/>
    </xf>
    <xf numFmtId="0" fontId="9" fillId="0" borderId="0" xfId="0" applyFont="1" applyFill="1" applyBorder="1" applyAlignment="1">
      <alignment vertical="center"/>
    </xf>
    <xf numFmtId="3" fontId="4"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3" fontId="8" fillId="2" borderId="1" xfId="0" applyNumberFormat="1" applyFont="1" applyFill="1" applyBorder="1" applyAlignment="1">
      <alignment horizontal="center" vertical="center" wrapText="1"/>
    </xf>
    <xf numFmtId="43" fontId="8" fillId="2" borderId="2" xfId="15"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8" fillId="0" borderId="0" xfId="0" applyFont="1" applyFill="1" applyBorder="1" applyAlignment="1">
      <alignment vertical="center"/>
    </xf>
    <xf numFmtId="3" fontId="8" fillId="0" borderId="0" xfId="0" applyNumberFormat="1" applyFont="1" applyFill="1" applyBorder="1" applyAlignment="1">
      <alignment vertical="center"/>
    </xf>
    <xf numFmtId="4" fontId="8" fillId="0" borderId="0" xfId="15" applyNumberFormat="1" applyFont="1" applyFill="1" applyBorder="1" applyAlignment="1">
      <alignment vertical="center"/>
    </xf>
    <xf numFmtId="3" fontId="9" fillId="0" borderId="0" xfId="0" applyNumberFormat="1" applyFont="1" applyFill="1" applyBorder="1" applyAlignment="1">
      <alignment vertical="center"/>
    </xf>
    <xf numFmtId="43" fontId="8" fillId="2" borderId="1" xfId="15"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vertical="center"/>
    </xf>
    <xf numFmtId="0" fontId="8" fillId="0" borderId="4" xfId="0" applyFont="1" applyFill="1" applyBorder="1" applyAlignment="1">
      <alignment vertical="center"/>
    </xf>
    <xf numFmtId="3" fontId="8" fillId="0" borderId="5" xfId="0" applyNumberFormat="1" applyFont="1" applyFill="1" applyBorder="1" applyAlignment="1">
      <alignment vertical="center"/>
    </xf>
    <xf numFmtId="4" fontId="8" fillId="0" borderId="6" xfId="0" applyNumberFormat="1" applyFont="1" applyFill="1" applyBorder="1" applyAlignment="1">
      <alignment vertical="center"/>
    </xf>
    <xf numFmtId="4" fontId="8" fillId="0" borderId="5" xfId="0" applyNumberFormat="1" applyFont="1" applyFill="1" applyBorder="1" applyAlignment="1">
      <alignment vertical="center"/>
    </xf>
    <xf numFmtId="3" fontId="8" fillId="0" borderId="6" xfId="0" applyNumberFormat="1" applyFont="1" applyFill="1" applyBorder="1" applyAlignment="1">
      <alignment vertical="center"/>
    </xf>
    <xf numFmtId="3" fontId="13" fillId="0" borderId="5" xfId="0" applyNumberFormat="1" applyFont="1" applyFill="1" applyBorder="1" applyAlignment="1">
      <alignment vertical="center"/>
    </xf>
    <xf numFmtId="3" fontId="9" fillId="0" borderId="5" xfId="0" applyNumberFormat="1" applyFont="1" applyFill="1" applyBorder="1" applyAlignment="1">
      <alignment horizontal="center" vertical="center"/>
    </xf>
    <xf numFmtId="4" fontId="8" fillId="0" borderId="7" xfId="0" applyNumberFormat="1" applyFont="1" applyFill="1" applyBorder="1" applyAlignment="1">
      <alignment vertical="center"/>
    </xf>
    <xf numFmtId="4" fontId="8" fillId="0" borderId="7" xfId="15" applyNumberFormat="1" applyFont="1" applyFill="1" applyBorder="1" applyAlignment="1">
      <alignment vertical="center"/>
    </xf>
    <xf numFmtId="3" fontId="8" fillId="0" borderId="8" xfId="0" applyNumberFormat="1" applyFont="1" applyFill="1" applyBorder="1" applyAlignment="1">
      <alignment vertical="center" wrapText="1"/>
    </xf>
    <xf numFmtId="0" fontId="8" fillId="0" borderId="0" xfId="0" applyFont="1" applyFill="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3" fontId="8" fillId="0" borderId="7" xfId="0" applyNumberFormat="1" applyFont="1" applyFill="1" applyBorder="1" applyAlignment="1">
      <alignment vertical="center"/>
    </xf>
    <xf numFmtId="3" fontId="8" fillId="0" borderId="11" xfId="0" applyNumberFormat="1" applyFont="1" applyFill="1" applyBorder="1" applyAlignment="1">
      <alignment vertical="center" wrapText="1"/>
    </xf>
    <xf numFmtId="0" fontId="14" fillId="2" borderId="12" xfId="0" applyFont="1" applyFill="1" applyBorder="1" applyAlignment="1">
      <alignment vertical="center"/>
    </xf>
    <xf numFmtId="0" fontId="14" fillId="2" borderId="13" xfId="0" applyFont="1" applyFill="1" applyBorder="1" applyAlignment="1">
      <alignment vertical="center"/>
    </xf>
    <xf numFmtId="3" fontId="14" fillId="2" borderId="2" xfId="0" applyNumberFormat="1" applyFont="1" applyFill="1" applyBorder="1" applyAlignment="1">
      <alignment vertical="center"/>
    </xf>
    <xf numFmtId="4" fontId="14" fillId="2" borderId="2" xfId="0" applyNumberFormat="1" applyFont="1" applyFill="1" applyBorder="1" applyAlignment="1">
      <alignment vertical="center"/>
    </xf>
    <xf numFmtId="4" fontId="14" fillId="2" borderId="14" xfId="0" applyNumberFormat="1" applyFont="1" applyFill="1" applyBorder="1" applyAlignment="1">
      <alignment vertical="center"/>
    </xf>
    <xf numFmtId="3" fontId="0" fillId="2" borderId="15" xfId="0" applyNumberFormat="1" applyFont="1" applyFill="1" applyBorder="1" applyAlignment="1">
      <alignment vertical="center"/>
    </xf>
    <xf numFmtId="0" fontId="0" fillId="0" borderId="0" xfId="0" applyFont="1" applyFill="1" applyAlignment="1">
      <alignment vertical="center"/>
    </xf>
    <xf numFmtId="3" fontId="8" fillId="0" borderId="0" xfId="0" applyNumberFormat="1" applyFont="1" applyFill="1" applyAlignment="1">
      <alignment vertical="center"/>
    </xf>
    <xf numFmtId="0" fontId="5" fillId="0" borderId="0" xfId="0" applyFont="1" applyFill="1" applyAlignment="1">
      <alignment vertical="center"/>
    </xf>
    <xf numFmtId="0" fontId="15" fillId="0" borderId="0" xfId="0" applyFont="1" applyFill="1" applyBorder="1" applyAlignment="1">
      <alignment vertical="center"/>
    </xf>
    <xf numFmtId="4" fontId="17" fillId="3" borderId="1" xfId="34" applyNumberFormat="1" applyFont="1" applyFill="1" applyBorder="1" applyAlignment="1">
      <alignment vertical="center"/>
      <protection/>
    </xf>
    <xf numFmtId="3" fontId="15" fillId="2" borderId="1" xfId="34" applyNumberFormat="1" applyFont="1" applyFill="1" applyBorder="1" applyAlignment="1">
      <alignment horizontal="center" vertical="center" wrapText="1"/>
      <protection/>
    </xf>
    <xf numFmtId="4" fontId="15" fillId="2" borderId="16" xfId="34" applyNumberFormat="1" applyFont="1" applyFill="1" applyBorder="1" applyAlignment="1">
      <alignment horizontal="center" vertical="center" wrapText="1"/>
      <protection/>
    </xf>
    <xf numFmtId="0" fontId="15" fillId="2" borderId="15" xfId="34" applyFont="1" applyFill="1" applyBorder="1" applyAlignment="1">
      <alignment horizontal="center" vertical="center" wrapText="1"/>
      <protection/>
    </xf>
    <xf numFmtId="0" fontId="15" fillId="0" borderId="0" xfId="34" applyFont="1" applyAlignment="1">
      <alignment vertical="center"/>
      <protection/>
    </xf>
    <xf numFmtId="4" fontId="16" fillId="0" borderId="0" xfId="34" applyNumberFormat="1" applyFont="1" applyAlignment="1">
      <alignment vertical="center"/>
      <protection/>
    </xf>
    <xf numFmtId="3" fontId="15" fillId="0" borderId="17" xfId="34" applyNumberFormat="1" applyFont="1" applyFill="1" applyBorder="1" applyAlignment="1">
      <alignment vertical="center"/>
      <protection/>
    </xf>
    <xf numFmtId="4" fontId="15" fillId="0" borderId="17" xfId="34" applyNumberFormat="1" applyFont="1" applyBorder="1" applyAlignment="1">
      <alignment vertical="center"/>
      <protection/>
    </xf>
    <xf numFmtId="4" fontId="15" fillId="0" borderId="17" xfId="34" applyNumberFormat="1" applyFont="1" applyFill="1" applyBorder="1" applyAlignment="1">
      <alignment vertical="center"/>
      <protection/>
    </xf>
    <xf numFmtId="3" fontId="15" fillId="0" borderId="17" xfId="34" applyNumberFormat="1" applyFont="1" applyBorder="1" applyAlignment="1">
      <alignment vertical="center"/>
      <protection/>
    </xf>
    <xf numFmtId="4" fontId="5" fillId="0" borderId="0" xfId="34" applyNumberFormat="1" applyFont="1" applyAlignment="1">
      <alignment vertical="center"/>
      <protection/>
    </xf>
    <xf numFmtId="4" fontId="17" fillId="0" borderId="0" xfId="34" applyNumberFormat="1" applyFont="1" applyAlignment="1">
      <alignment vertical="center"/>
      <protection/>
    </xf>
    <xf numFmtId="0" fontId="5" fillId="0" borderId="0" xfId="34" applyFont="1" applyAlignment="1">
      <alignment vertical="center"/>
      <protection/>
    </xf>
    <xf numFmtId="4" fontId="15" fillId="0" borderId="17" xfId="39" applyNumberFormat="1" applyFont="1" applyBorder="1" applyAlignment="1">
      <alignment vertical="center"/>
    </xf>
    <xf numFmtId="3" fontId="18" fillId="0" borderId="1" xfId="34" applyNumberFormat="1" applyFont="1" applyBorder="1" applyAlignment="1">
      <alignment vertical="center"/>
      <protection/>
    </xf>
    <xf numFmtId="4" fontId="18" fillId="0" borderId="1" xfId="34" applyNumberFormat="1" applyFont="1" applyBorder="1" applyAlignment="1">
      <alignment vertical="center"/>
      <protection/>
    </xf>
    <xf numFmtId="4" fontId="16" fillId="0" borderId="1" xfId="34" applyNumberFormat="1" applyFont="1" applyBorder="1" applyAlignment="1">
      <alignment vertical="center"/>
      <protection/>
    </xf>
    <xf numFmtId="0" fontId="17" fillId="0" borderId="0" xfId="34" applyFont="1" applyAlignment="1">
      <alignment vertical="center"/>
      <protection/>
    </xf>
    <xf numFmtId="3" fontId="15" fillId="0" borderId="18" xfId="34" applyNumberFormat="1" applyFont="1" applyBorder="1" applyAlignment="1">
      <alignment vertical="center" wrapText="1"/>
      <protection/>
    </xf>
    <xf numFmtId="3" fontId="15" fillId="0" borderId="17" xfId="34" applyNumberFormat="1" applyFont="1" applyBorder="1" applyAlignment="1">
      <alignment vertical="center" wrapText="1"/>
      <protection/>
    </xf>
    <xf numFmtId="4" fontId="19" fillId="0" borderId="0" xfId="34" applyNumberFormat="1" applyFont="1" applyAlignment="1">
      <alignment vertical="center"/>
      <protection/>
    </xf>
    <xf numFmtId="0" fontId="19" fillId="0" borderId="0" xfId="34" applyFont="1" applyAlignment="1">
      <alignment vertical="center"/>
      <protection/>
    </xf>
    <xf numFmtId="3" fontId="18" fillId="2" borderId="17" xfId="34" applyNumberFormat="1" applyFont="1" applyFill="1" applyBorder="1" applyAlignment="1">
      <alignment vertical="center"/>
      <protection/>
    </xf>
    <xf numFmtId="4" fontId="18" fillId="2" borderId="17" xfId="34" applyNumberFormat="1" applyFont="1" applyFill="1" applyBorder="1" applyAlignment="1">
      <alignment vertical="center"/>
      <protection/>
    </xf>
    <xf numFmtId="4" fontId="16" fillId="2" borderId="17" xfId="34" applyNumberFormat="1" applyFont="1" applyFill="1" applyBorder="1" applyAlignment="1">
      <alignment vertical="center"/>
      <protection/>
    </xf>
    <xf numFmtId="4" fontId="20" fillId="0" borderId="0" xfId="34" applyNumberFormat="1" applyFont="1" applyAlignment="1">
      <alignment vertical="center"/>
      <protection/>
    </xf>
    <xf numFmtId="3" fontId="18" fillId="0" borderId="17" xfId="34" applyNumberFormat="1" applyFont="1" applyFill="1" applyBorder="1" applyAlignment="1">
      <alignment vertical="center"/>
      <protection/>
    </xf>
    <xf numFmtId="4" fontId="18" fillId="0" borderId="17" xfId="34" applyNumberFormat="1" applyFont="1" applyFill="1" applyBorder="1" applyAlignment="1">
      <alignment vertical="center"/>
      <protection/>
    </xf>
    <xf numFmtId="3" fontId="18" fillId="3" borderId="1" xfId="34" applyNumberFormat="1" applyFont="1" applyFill="1" applyBorder="1" applyAlignment="1">
      <alignment vertical="center"/>
      <protection/>
    </xf>
    <xf numFmtId="4" fontId="18" fillId="3" borderId="1" xfId="34" applyNumberFormat="1" applyFont="1" applyFill="1" applyBorder="1" applyAlignment="1">
      <alignment vertical="center"/>
      <protection/>
    </xf>
    <xf numFmtId="3" fontId="16" fillId="0" borderId="17" xfId="34" applyNumberFormat="1" applyFont="1" applyBorder="1" applyAlignment="1">
      <alignment vertical="center"/>
      <protection/>
    </xf>
    <xf numFmtId="3" fontId="18" fillId="4" borderId="1" xfId="34" applyNumberFormat="1" applyFont="1" applyFill="1" applyBorder="1" applyAlignment="1">
      <alignment vertical="center"/>
      <protection/>
    </xf>
    <xf numFmtId="4" fontId="18" fillId="4" borderId="1" xfId="34" applyNumberFormat="1" applyFont="1" applyFill="1" applyBorder="1" applyAlignment="1">
      <alignment vertical="center"/>
      <protection/>
    </xf>
    <xf numFmtId="3" fontId="22" fillId="0" borderId="17" xfId="34" applyNumberFormat="1" applyFont="1" applyBorder="1" applyAlignment="1">
      <alignment vertical="center"/>
      <protection/>
    </xf>
    <xf numFmtId="4" fontId="16" fillId="0" borderId="17" xfId="34" applyNumberFormat="1" applyFont="1" applyBorder="1" applyAlignment="1">
      <alignment vertical="center"/>
      <protection/>
    </xf>
    <xf numFmtId="4" fontId="22" fillId="0" borderId="17" xfId="34" applyNumberFormat="1" applyFont="1" applyBorder="1" applyAlignment="1">
      <alignment vertical="center"/>
      <protection/>
    </xf>
    <xf numFmtId="3" fontId="18" fillId="2" borderId="1" xfId="34" applyNumberFormat="1" applyFont="1" applyFill="1" applyBorder="1" applyAlignment="1">
      <alignment vertical="center"/>
      <protection/>
    </xf>
    <xf numFmtId="4" fontId="18" fillId="2" borderId="1" xfId="34" applyNumberFormat="1" applyFont="1" applyFill="1" applyBorder="1" applyAlignment="1">
      <alignment vertical="center"/>
      <protection/>
    </xf>
    <xf numFmtId="3" fontId="18" fillId="0" borderId="18" xfId="34" applyNumberFormat="1" applyFont="1" applyBorder="1" applyAlignment="1">
      <alignment vertical="center"/>
      <protection/>
    </xf>
    <xf numFmtId="4" fontId="22" fillId="0" borderId="18" xfId="34" applyNumberFormat="1" applyFont="1" applyBorder="1" applyAlignment="1">
      <alignment vertical="center"/>
      <protection/>
    </xf>
    <xf numFmtId="3" fontId="14" fillId="5" borderId="1" xfId="0" applyNumberFormat="1" applyFont="1" applyFill="1" applyBorder="1" applyAlignment="1">
      <alignment horizontal="center" vertical="center"/>
    </xf>
    <xf numFmtId="3" fontId="14" fillId="5" borderId="1" xfId="0" applyNumberFormat="1"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1" fontId="14" fillId="0" borderId="0" xfId="0" applyNumberFormat="1" applyFont="1" applyFill="1" applyAlignment="1">
      <alignment horizontal="left"/>
    </xf>
    <xf numFmtId="1" fontId="14" fillId="0" borderId="0" xfId="0" applyNumberFormat="1" applyFont="1" applyFill="1" applyAlignment="1">
      <alignment horizontal="center"/>
    </xf>
    <xf numFmtId="0" fontId="14" fillId="0" borderId="0" xfId="0" applyFont="1" applyFill="1" applyAlignment="1">
      <alignment horizontal="left"/>
    </xf>
    <xf numFmtId="2" fontId="0" fillId="0" borderId="19" xfId="0" applyNumberFormat="1" applyFont="1" applyFill="1" applyBorder="1" applyAlignment="1">
      <alignment horizontal="right"/>
    </xf>
    <xf numFmtId="2" fontId="0" fillId="0" borderId="0" xfId="0" applyNumberFormat="1" applyFont="1" applyFill="1" applyBorder="1" applyAlignment="1">
      <alignment horizontal="right"/>
    </xf>
    <xf numFmtId="0" fontId="0" fillId="0" borderId="0" xfId="0" applyFont="1" applyFill="1" applyAlignment="1">
      <alignment vertical="top" wrapText="1"/>
    </xf>
    <xf numFmtId="0" fontId="0" fillId="0" borderId="0" xfId="0" applyFill="1" applyBorder="1" applyAlignment="1">
      <alignment/>
    </xf>
    <xf numFmtId="0" fontId="0" fillId="0" borderId="0" xfId="0" applyFill="1" applyAlignment="1">
      <alignment/>
    </xf>
    <xf numFmtId="1" fontId="0" fillId="0" borderId="7" xfId="0" applyNumberFormat="1" applyFont="1" applyFill="1" applyBorder="1" applyAlignment="1">
      <alignment horizontal="center"/>
    </xf>
    <xf numFmtId="0" fontId="0" fillId="0" borderId="7" xfId="0" applyFont="1" applyFill="1" applyBorder="1" applyAlignment="1">
      <alignment horizontal="left"/>
    </xf>
    <xf numFmtId="2" fontId="0" fillId="0" borderId="7" xfId="0" applyNumberFormat="1" applyFont="1" applyFill="1" applyBorder="1" applyAlignment="1">
      <alignment horizontal="right"/>
    </xf>
    <xf numFmtId="4" fontId="0" fillId="0" borderId="7" xfId="0" applyNumberFormat="1" applyFont="1" applyFill="1" applyBorder="1" applyAlignment="1">
      <alignment horizontal="right"/>
    </xf>
    <xf numFmtId="0" fontId="0" fillId="0" borderId="7" xfId="0" applyFont="1" applyFill="1" applyBorder="1" applyAlignment="1">
      <alignment vertical="top" wrapText="1"/>
    </xf>
    <xf numFmtId="1" fontId="0" fillId="0" borderId="7"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wrapText="1"/>
    </xf>
    <xf numFmtId="2" fontId="0" fillId="0" borderId="7" xfId="0" applyNumberFormat="1" applyFont="1" applyFill="1" applyBorder="1" applyAlignment="1">
      <alignment horizontal="right" vertical="center"/>
    </xf>
    <xf numFmtId="4" fontId="0" fillId="0" borderId="7" xfId="0" applyNumberFormat="1" applyFill="1" applyBorder="1" applyAlignment="1">
      <alignment vertical="center"/>
    </xf>
    <xf numFmtId="0" fontId="0" fillId="0" borderId="7" xfId="0" applyFont="1" applyFill="1" applyBorder="1" applyAlignment="1">
      <alignment vertical="center" wrapText="1"/>
    </xf>
    <xf numFmtId="1" fontId="0" fillId="0" borderId="7" xfId="0" applyNumberFormat="1" applyFont="1" applyFill="1" applyBorder="1" applyAlignment="1">
      <alignment horizontal="center" vertical="center" wrapText="1"/>
    </xf>
    <xf numFmtId="173" fontId="0" fillId="0" borderId="20" xfId="0" applyNumberFormat="1" applyFont="1" applyFill="1" applyBorder="1" applyAlignment="1">
      <alignment vertical="center" wrapText="1"/>
    </xf>
    <xf numFmtId="2" fontId="0" fillId="0" borderId="7" xfId="0" applyNumberFormat="1" applyFill="1" applyBorder="1" applyAlignment="1">
      <alignment vertical="center"/>
    </xf>
    <xf numFmtId="2" fontId="0" fillId="0" borderId="7" xfId="0" applyNumberFormat="1" applyFont="1" applyFill="1" applyBorder="1" applyAlignment="1">
      <alignment vertical="center" wrapText="1"/>
    </xf>
    <xf numFmtId="173" fontId="23" fillId="0" borderId="0" xfId="0" applyNumberFormat="1" applyFont="1" applyFill="1" applyBorder="1" applyAlignment="1">
      <alignment vertical="center" wrapText="1"/>
    </xf>
    <xf numFmtId="0" fontId="0" fillId="0" borderId="20" xfId="0" applyFont="1" applyFill="1" applyBorder="1" applyAlignment="1">
      <alignment horizontal="left" vertical="center" wrapText="1"/>
    </xf>
    <xf numFmtId="2" fontId="0" fillId="0" borderId="7" xfId="0" applyNumberFormat="1" applyFont="1" applyFill="1" applyBorder="1" applyAlignment="1">
      <alignment horizontal="right" vertical="center" wrapText="1"/>
    </xf>
    <xf numFmtId="0" fontId="0" fillId="0" borderId="7" xfId="0" applyNumberFormat="1" applyFont="1" applyFill="1" applyBorder="1" applyAlignment="1">
      <alignment vertical="center" wrapText="1"/>
    </xf>
    <xf numFmtId="0" fontId="0" fillId="0" borderId="0" xfId="0" applyBorder="1" applyAlignment="1">
      <alignment/>
    </xf>
    <xf numFmtId="3" fontId="0" fillId="0" borderId="20" xfId="0" applyNumberFormat="1" applyFont="1" applyFill="1" applyBorder="1" applyAlignment="1">
      <alignment vertical="center" wrapText="1"/>
    </xf>
    <xf numFmtId="3" fontId="23" fillId="0" borderId="0" xfId="0" applyNumberFormat="1" applyFont="1" applyFill="1" applyBorder="1" applyAlignment="1">
      <alignment wrapText="1"/>
    </xf>
    <xf numFmtId="2" fontId="14" fillId="0" borderId="7" xfId="0" applyNumberFormat="1" applyFont="1" applyFill="1" applyBorder="1" applyAlignment="1">
      <alignment horizontal="right" vertical="center" wrapText="1"/>
    </xf>
    <xf numFmtId="1" fontId="0" fillId="0" borderId="21" xfId="22" applyNumberFormat="1" applyFont="1" applyFill="1" applyBorder="1" applyAlignment="1">
      <alignment horizontal="center" vertical="center" wrapText="1"/>
      <protection/>
    </xf>
    <xf numFmtId="0" fontId="0" fillId="0" borderId="7" xfId="0" applyFont="1" applyFill="1" applyBorder="1" applyAlignment="1">
      <alignment horizontal="left" vertical="center" wrapText="1"/>
    </xf>
    <xf numFmtId="4" fontId="0" fillId="0" borderId="7" xfId="0" applyNumberFormat="1" applyFont="1" applyFill="1" applyBorder="1" applyAlignment="1">
      <alignment horizontal="right" vertical="center" wrapText="1"/>
    </xf>
    <xf numFmtId="1" fontId="0" fillId="0" borderId="22" xfId="22" applyNumberFormat="1" applyFont="1" applyFill="1" applyBorder="1" applyAlignment="1">
      <alignment horizontal="center" vertical="center" wrapText="1"/>
      <protection/>
    </xf>
    <xf numFmtId="2" fontId="0" fillId="0" borderId="7" xfId="0" applyNumberFormat="1" applyFill="1" applyBorder="1" applyAlignment="1">
      <alignment horizontal="right" vertical="center" wrapText="1"/>
    </xf>
    <xf numFmtId="2" fontId="0" fillId="0" borderId="20" xfId="0" applyNumberFormat="1" applyFont="1" applyFill="1" applyBorder="1" applyAlignment="1">
      <alignment horizontal="right" vertical="center" wrapText="1"/>
    </xf>
    <xf numFmtId="0" fontId="24" fillId="0" borderId="0" xfId="0" applyFont="1" applyFill="1" applyBorder="1" applyAlignment="1">
      <alignment/>
    </xf>
    <xf numFmtId="0" fontId="14" fillId="0" borderId="0" xfId="0" applyFont="1" applyFill="1" applyAlignment="1">
      <alignment/>
    </xf>
    <xf numFmtId="2" fontId="0" fillId="0" borderId="5" xfId="0" applyNumberFormat="1" applyFont="1" applyFill="1" applyBorder="1" applyAlignment="1">
      <alignment horizontal="right" vertical="center" wrapText="1"/>
    </xf>
    <xf numFmtId="0" fontId="14" fillId="0" borderId="7" xfId="0" applyFont="1" applyFill="1" applyBorder="1" applyAlignment="1">
      <alignment vertical="center" wrapText="1"/>
    </xf>
    <xf numFmtId="2" fontId="0" fillId="0" borderId="6" xfId="0" applyNumberFormat="1" applyFont="1" applyFill="1" applyBorder="1" applyAlignment="1">
      <alignment horizontal="right" vertical="center" wrapText="1"/>
    </xf>
    <xf numFmtId="2" fontId="0" fillId="0" borderId="6" xfId="0" applyNumberFormat="1" applyFill="1" applyBorder="1" applyAlignment="1">
      <alignment vertical="center"/>
    </xf>
    <xf numFmtId="0" fontId="0" fillId="0" borderId="7" xfId="0" applyFill="1" applyBorder="1" applyAlignment="1">
      <alignment vertical="center"/>
    </xf>
    <xf numFmtId="0" fontId="23" fillId="0" borderId="0" xfId="0" applyFont="1" applyFill="1" applyBorder="1" applyAlignment="1">
      <alignment vertical="center" wrapText="1"/>
    </xf>
    <xf numFmtId="173" fontId="0" fillId="0" borderId="7" xfId="0" applyNumberFormat="1" applyFont="1" applyFill="1" applyBorder="1" applyAlignment="1">
      <alignment vertical="center" wrapText="1"/>
    </xf>
    <xf numFmtId="4" fontId="0" fillId="0" borderId="7" xfId="0" applyNumberFormat="1" applyFont="1" applyFill="1" applyBorder="1" applyAlignment="1">
      <alignment horizontal="right" vertical="center"/>
    </xf>
    <xf numFmtId="1" fontId="0" fillId="0" borderId="21"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wrapText="1"/>
    </xf>
    <xf numFmtId="3" fontId="0" fillId="0" borderId="7" xfId="0" applyNumberFormat="1" applyFont="1" applyFill="1" applyBorder="1" applyAlignment="1">
      <alignment vertical="center" wrapText="1"/>
    </xf>
    <xf numFmtId="2" fontId="0" fillId="0" borderId="7" xfId="0" applyNumberFormat="1" applyFont="1" applyFill="1" applyBorder="1" applyAlignment="1">
      <alignment horizontal="left" vertical="center" wrapText="1"/>
    </xf>
    <xf numFmtId="2" fontId="8" fillId="0" borderId="7" xfId="0" applyNumberFormat="1" applyFont="1" applyFill="1" applyBorder="1" applyAlignment="1">
      <alignment horizontal="left" vertical="center" wrapText="1"/>
    </xf>
    <xf numFmtId="4" fontId="0" fillId="0" borderId="7" xfId="0" applyNumberFormat="1" applyFont="1" applyFill="1" applyBorder="1" applyAlignment="1">
      <alignment horizontal="left" vertical="center" wrapText="1"/>
    </xf>
    <xf numFmtId="0" fontId="23" fillId="0" borderId="0" xfId="0" applyFont="1" applyFill="1" applyBorder="1" applyAlignment="1">
      <alignment horizontal="left" wrapText="1"/>
    </xf>
    <xf numFmtId="2" fontId="0" fillId="0" borderId="6" xfId="0" applyNumberFormat="1" applyFont="1" applyFill="1" applyBorder="1" applyAlignment="1">
      <alignment horizontal="right" vertical="center"/>
    </xf>
    <xf numFmtId="1" fontId="14" fillId="0" borderId="1" xfId="0" applyNumberFormat="1" applyFont="1" applyFill="1" applyBorder="1" applyAlignment="1">
      <alignment horizontal="center" vertical="top" wrapText="1"/>
    </xf>
    <xf numFmtId="1"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2" fontId="14" fillId="0" borderId="1" xfId="0" applyNumberFormat="1" applyFont="1" applyFill="1" applyBorder="1" applyAlignment="1">
      <alignment horizontal="right"/>
    </xf>
    <xf numFmtId="4" fontId="14" fillId="0" borderId="1" xfId="0" applyNumberFormat="1" applyFont="1" applyFill="1" applyBorder="1" applyAlignment="1">
      <alignment horizontal="right" vertical="center"/>
    </xf>
    <xf numFmtId="0" fontId="0" fillId="0" borderId="1" xfId="0" applyFont="1" applyFill="1" applyBorder="1" applyAlignment="1">
      <alignment vertical="center" wrapText="1"/>
    </xf>
    <xf numFmtId="0" fontId="0" fillId="0" borderId="1" xfId="0" applyFill="1" applyBorder="1" applyAlignment="1">
      <alignment/>
    </xf>
    <xf numFmtId="0" fontId="0" fillId="0" borderId="1" xfId="0" applyBorder="1" applyAlignment="1">
      <alignment/>
    </xf>
    <xf numFmtId="1" fontId="0" fillId="0" borderId="0" xfId="0" applyNumberFormat="1"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vertical="top" wrapText="1"/>
    </xf>
    <xf numFmtId="1" fontId="0" fillId="0" borderId="0" xfId="0" applyNumberFormat="1" applyFont="1" applyFill="1" applyAlignment="1">
      <alignment horizontal="center"/>
    </xf>
    <xf numFmtId="0" fontId="0" fillId="0" borderId="0" xfId="0" applyFont="1" applyFill="1" applyAlignment="1">
      <alignment horizontal="left" wrapText="1"/>
    </xf>
    <xf numFmtId="2" fontId="14" fillId="0" borderId="0" xfId="0" applyNumberFormat="1" applyFont="1" applyFill="1" applyAlignment="1">
      <alignment horizontal="right"/>
    </xf>
    <xf numFmtId="2" fontId="0" fillId="0" borderId="0" xfId="0" applyNumberFormat="1" applyFont="1" applyFill="1" applyAlignment="1">
      <alignment horizontal="right"/>
    </xf>
    <xf numFmtId="1" fontId="14" fillId="0" borderId="0" xfId="0" applyNumberFormat="1" applyFont="1" applyFill="1" applyBorder="1" applyAlignment="1">
      <alignment horizontal="left"/>
    </xf>
    <xf numFmtId="1" fontId="14" fillId="0" borderId="0" xfId="0" applyNumberFormat="1" applyFont="1" applyFill="1" applyBorder="1" applyAlignment="1">
      <alignment horizontal="center"/>
    </xf>
    <xf numFmtId="2" fontId="0" fillId="0" borderId="23" xfId="0" applyNumberFormat="1" applyFont="1" applyFill="1" applyBorder="1" applyAlignment="1">
      <alignment horizontal="right"/>
    </xf>
    <xf numFmtId="1" fontId="14" fillId="0" borderId="7" xfId="0" applyNumberFormat="1" applyFont="1" applyFill="1" applyBorder="1" applyAlignment="1">
      <alignment horizontal="left"/>
    </xf>
    <xf numFmtId="1" fontId="0" fillId="0" borderId="7" xfId="0" applyNumberFormat="1" applyFont="1" applyFill="1" applyBorder="1" applyAlignment="1">
      <alignment horizontal="left" vertical="center"/>
    </xf>
    <xf numFmtId="0" fontId="0" fillId="0" borderId="7" xfId="0" applyFont="1" applyFill="1" applyBorder="1" applyAlignment="1">
      <alignment horizontal="left" vertical="center"/>
    </xf>
    <xf numFmtId="0" fontId="0" fillId="0" borderId="7" xfId="0" applyFill="1" applyBorder="1" applyAlignment="1">
      <alignment/>
    </xf>
    <xf numFmtId="0" fontId="0" fillId="0" borderId="7" xfId="0" applyBorder="1" applyAlignment="1">
      <alignment/>
    </xf>
    <xf numFmtId="1" fontId="0" fillId="0" borderId="23" xfId="0" applyNumberFormat="1" applyFont="1" applyFill="1" applyBorder="1" applyAlignment="1">
      <alignment horizontal="center" vertical="center"/>
    </xf>
    <xf numFmtId="1" fontId="0" fillId="0" borderId="7" xfId="22" applyNumberFormat="1" applyFont="1" applyFill="1" applyBorder="1" applyAlignment="1">
      <alignment horizontal="center" vertical="center" wrapText="1"/>
      <protection/>
    </xf>
    <xf numFmtId="1" fontId="0" fillId="0" borderId="6" xfId="0" applyNumberFormat="1" applyFont="1" applyFill="1" applyBorder="1" applyAlignment="1">
      <alignment horizontal="center" vertical="center"/>
    </xf>
    <xf numFmtId="0" fontId="0" fillId="0" borderId="6" xfId="0" applyFont="1" applyFill="1" applyBorder="1" applyAlignment="1">
      <alignment horizontal="left" vertical="center" wrapText="1"/>
    </xf>
    <xf numFmtId="4" fontId="0" fillId="0" borderId="6" xfId="0" applyNumberFormat="1" applyFont="1" applyFill="1" applyBorder="1" applyAlignment="1">
      <alignment horizontal="right" vertical="center" wrapText="1"/>
    </xf>
    <xf numFmtId="0" fontId="0" fillId="0" borderId="6" xfId="0" applyFont="1" applyFill="1" applyBorder="1" applyAlignment="1">
      <alignment vertical="center" wrapText="1"/>
    </xf>
    <xf numFmtId="1" fontId="0" fillId="0" borderId="7" xfId="22" applyNumberFormat="1" applyFont="1" applyFill="1" applyBorder="1" applyAlignment="1">
      <alignment horizontal="center" vertical="center"/>
      <protection/>
    </xf>
    <xf numFmtId="0" fontId="0" fillId="0" borderId="7" xfId="22" applyFont="1" applyFill="1" applyBorder="1" applyAlignment="1">
      <alignment horizontal="left" vertical="center" wrapText="1"/>
      <protection/>
    </xf>
    <xf numFmtId="0" fontId="23"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1" fontId="0" fillId="0" borderId="0" xfId="0" applyNumberFormat="1" applyBorder="1" applyAlignment="1">
      <alignment/>
    </xf>
    <xf numFmtId="0" fontId="25" fillId="0" borderId="0" xfId="0" applyFont="1" applyAlignment="1">
      <alignment/>
    </xf>
    <xf numFmtId="1" fontId="0" fillId="0" borderId="0" xfId="0" applyNumberFormat="1" applyFill="1" applyAlignment="1">
      <alignment/>
    </xf>
    <xf numFmtId="1" fontId="0" fillId="0" borderId="0" xfId="0" applyNumberFormat="1" applyAlignment="1">
      <alignment/>
    </xf>
    <xf numFmtId="0" fontId="0" fillId="0" borderId="22" xfId="0" applyFont="1" applyFill="1" applyBorder="1" applyAlignment="1">
      <alignment horizontal="left" vertical="center" wrapText="1"/>
    </xf>
    <xf numFmtId="2" fontId="0" fillId="0" borderId="21" xfId="0" applyNumberFormat="1" applyFont="1" applyFill="1" applyBorder="1" applyAlignment="1">
      <alignment horizontal="right" vertical="center"/>
    </xf>
    <xf numFmtId="4" fontId="0" fillId="0" borderId="21" xfId="0" applyNumberFormat="1" applyFont="1" applyFill="1" applyBorder="1" applyAlignment="1">
      <alignment horizontal="right" vertical="center" wrapText="1"/>
    </xf>
    <xf numFmtId="1" fontId="0" fillId="0" borderId="21" xfId="0" applyNumberFormat="1"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1" xfId="0" applyFont="1" applyFill="1" applyBorder="1" applyAlignment="1">
      <alignment vertical="center" wrapText="1"/>
    </xf>
    <xf numFmtId="1" fontId="0" fillId="0" borderId="0" xfId="0" applyNumberFormat="1" applyFill="1" applyBorder="1" applyAlignment="1">
      <alignment/>
    </xf>
    <xf numFmtId="0" fontId="25" fillId="0" borderId="0" xfId="0" applyFont="1" applyBorder="1" applyAlignment="1">
      <alignment/>
    </xf>
    <xf numFmtId="1" fontId="0" fillId="0" borderId="23" xfId="22" applyNumberFormat="1" applyFont="1" applyFill="1" applyBorder="1" applyAlignment="1">
      <alignment horizontal="center" vertical="center" wrapText="1"/>
      <protection/>
    </xf>
    <xf numFmtId="1" fontId="0" fillId="0" borderId="7" xfId="0" applyNumberFormat="1" applyFill="1" applyBorder="1" applyAlignment="1">
      <alignment/>
    </xf>
    <xf numFmtId="0" fontId="25" fillId="0" borderId="7" xfId="0" applyFont="1" applyBorder="1" applyAlignment="1">
      <alignment/>
    </xf>
    <xf numFmtId="1" fontId="0" fillId="0" borderId="7" xfId="0" applyNumberFormat="1" applyBorder="1" applyAlignment="1">
      <alignment/>
    </xf>
    <xf numFmtId="1" fontId="0" fillId="0" borderId="6" xfId="22" applyNumberFormat="1" applyFont="1" applyFill="1" applyBorder="1" applyAlignment="1">
      <alignment horizontal="center" vertical="center" wrapText="1"/>
      <protection/>
    </xf>
    <xf numFmtId="2" fontId="0" fillId="0" borderId="23" xfId="0" applyNumberFormat="1" applyFont="1" applyFill="1" applyBorder="1" applyAlignment="1">
      <alignment horizontal="right" vertical="center"/>
    </xf>
    <xf numFmtId="0" fontId="0" fillId="0" borderId="23" xfId="0" applyFont="1" applyFill="1" applyBorder="1" applyAlignment="1">
      <alignment horizontal="left" vertical="center" wrapText="1"/>
    </xf>
    <xf numFmtId="1" fontId="0" fillId="0" borderId="1" xfId="0" applyNumberFormat="1" applyFont="1" applyFill="1" applyBorder="1" applyAlignment="1">
      <alignment horizontal="center"/>
    </xf>
    <xf numFmtId="1" fontId="0" fillId="0" borderId="1" xfId="0" applyNumberFormat="1" applyFont="1" applyFill="1" applyBorder="1" applyAlignment="1">
      <alignment horizontal="center" vertical="center"/>
    </xf>
    <xf numFmtId="2" fontId="0" fillId="0" borderId="1" xfId="0" applyNumberFormat="1" applyFont="1" applyFill="1" applyBorder="1" applyAlignment="1">
      <alignment horizontal="right" vertical="center"/>
    </xf>
    <xf numFmtId="1" fontId="0" fillId="0" borderId="1" xfId="0" applyNumberFormat="1" applyFill="1" applyBorder="1" applyAlignment="1">
      <alignment/>
    </xf>
    <xf numFmtId="0" fontId="25" fillId="0" borderId="1" xfId="0" applyFont="1" applyBorder="1" applyAlignment="1">
      <alignment/>
    </xf>
    <xf numFmtId="1" fontId="0" fillId="0" borderId="1" xfId="0" applyNumberFormat="1" applyBorder="1" applyAlignment="1">
      <alignment/>
    </xf>
    <xf numFmtId="2" fontId="14" fillId="0" borderId="0" xfId="0" applyNumberFormat="1" applyFont="1" applyFill="1" applyBorder="1" applyAlignment="1">
      <alignment horizontal="right"/>
    </xf>
    <xf numFmtId="1" fontId="14" fillId="0" borderId="0" xfId="0" applyNumberFormat="1" applyFont="1" applyFill="1" applyBorder="1" applyAlignment="1">
      <alignment horizontal="center" wrapText="1"/>
    </xf>
    <xf numFmtId="1" fontId="0" fillId="0" borderId="7" xfId="0" applyNumberFormat="1" applyFont="1" applyFill="1" applyBorder="1" applyAlignment="1">
      <alignment horizontal="left"/>
    </xf>
    <xf numFmtId="4" fontId="0" fillId="0" borderId="7" xfId="0" applyNumberFormat="1" applyFont="1" applyFill="1" applyBorder="1" applyAlignment="1">
      <alignment vertical="center" wrapText="1"/>
    </xf>
    <xf numFmtId="4" fontId="0" fillId="0" borderId="7" xfId="0" applyNumberFormat="1" applyFill="1" applyBorder="1" applyAlignment="1">
      <alignment vertical="center" wrapText="1"/>
    </xf>
    <xf numFmtId="0" fontId="0" fillId="0" borderId="7" xfId="0" applyFont="1" applyFill="1" applyBorder="1" applyAlignment="1">
      <alignment/>
    </xf>
    <xf numFmtId="0" fontId="0" fillId="0" borderId="7" xfId="0" applyNumberFormat="1" applyFont="1" applyFill="1" applyBorder="1" applyAlignment="1">
      <alignment horizontal="justify" vertical="center"/>
    </xf>
    <xf numFmtId="2" fontId="0" fillId="0" borderId="21" xfId="0" applyNumberFormat="1" applyFont="1" applyFill="1" applyBorder="1" applyAlignment="1">
      <alignment horizontal="right" vertical="center" wrapText="1"/>
    </xf>
    <xf numFmtId="4" fontId="0" fillId="0" borderId="21" xfId="0" applyNumberFormat="1" applyFill="1" applyBorder="1" applyAlignment="1">
      <alignment vertical="center"/>
    </xf>
    <xf numFmtId="4" fontId="0" fillId="0" borderId="21" xfId="0" applyNumberFormat="1" applyFill="1" applyBorder="1" applyAlignment="1">
      <alignment vertical="center" wrapText="1"/>
    </xf>
    <xf numFmtId="0" fontId="0" fillId="0" borderId="21" xfId="0" applyFill="1" applyBorder="1" applyAlignment="1">
      <alignment/>
    </xf>
    <xf numFmtId="0" fontId="0" fillId="0" borderId="21" xfId="0" applyBorder="1" applyAlignment="1">
      <alignment/>
    </xf>
    <xf numFmtId="4" fontId="0" fillId="0" borderId="21" xfId="0" applyNumberFormat="1" applyFont="1" applyFill="1" applyBorder="1" applyAlignment="1">
      <alignment vertical="center" wrapText="1"/>
    </xf>
    <xf numFmtId="1" fontId="0" fillId="0" borderId="24" xfId="0" applyNumberFormat="1" applyFont="1" applyFill="1" applyBorder="1" applyAlignment="1">
      <alignment horizontal="center" vertical="center" wrapText="1"/>
    </xf>
    <xf numFmtId="0" fontId="0" fillId="0" borderId="24" xfId="0" applyFont="1" applyFill="1" applyBorder="1" applyAlignment="1">
      <alignment vertical="center" wrapText="1"/>
    </xf>
    <xf numFmtId="2" fontId="0" fillId="0" borderId="24" xfId="0" applyNumberFormat="1" applyFont="1" applyFill="1" applyBorder="1" applyAlignment="1">
      <alignment horizontal="right" vertical="center" wrapText="1"/>
    </xf>
    <xf numFmtId="4" fontId="0" fillId="0" borderId="24" xfId="0" applyNumberFormat="1" applyFill="1" applyBorder="1" applyAlignment="1">
      <alignment vertical="center"/>
    </xf>
    <xf numFmtId="4" fontId="0" fillId="0" borderId="24" xfId="0" applyNumberFormat="1" applyFill="1" applyBorder="1" applyAlignment="1">
      <alignment vertical="center" wrapText="1"/>
    </xf>
    <xf numFmtId="4" fontId="0" fillId="0" borderId="24" xfId="0" applyNumberFormat="1" applyFont="1" applyFill="1" applyBorder="1" applyAlignment="1">
      <alignment vertical="center" wrapText="1"/>
    </xf>
    <xf numFmtId="0" fontId="0" fillId="0" borderId="24" xfId="0" applyFill="1" applyBorder="1" applyAlignment="1">
      <alignment/>
    </xf>
    <xf numFmtId="0" fontId="0" fillId="0" borderId="24" xfId="0" applyBorder="1" applyAlignment="1">
      <alignment/>
    </xf>
    <xf numFmtId="1" fontId="14"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1" fontId="14" fillId="0" borderId="0" xfId="0" applyNumberFormat="1" applyFont="1" applyFill="1" applyBorder="1" applyAlignment="1">
      <alignment horizontal="left" vertical="top"/>
    </xf>
    <xf numFmtId="0" fontId="0" fillId="0" borderId="7" xfId="0" applyFill="1" applyBorder="1" applyAlignment="1">
      <alignment horizontal="center" vertical="center"/>
    </xf>
    <xf numFmtId="0" fontId="0" fillId="0" borderId="7" xfId="0" applyFill="1" applyBorder="1" applyAlignment="1">
      <alignment vertical="center" wrapText="1"/>
    </xf>
    <xf numFmtId="0" fontId="0" fillId="0" borderId="7" xfId="0" applyNumberFormat="1" applyFill="1" applyBorder="1" applyAlignment="1">
      <alignment vertical="center" wrapText="1"/>
    </xf>
    <xf numFmtId="0" fontId="0" fillId="0" borderId="7" xfId="0" applyFont="1" applyFill="1" applyBorder="1" applyAlignment="1">
      <alignment vertical="center"/>
    </xf>
    <xf numFmtId="0" fontId="14" fillId="0" borderId="7" xfId="0" applyNumberFormat="1" applyFont="1" applyFill="1" applyBorder="1" applyAlignment="1">
      <alignment vertical="center" wrapText="1"/>
    </xf>
    <xf numFmtId="0" fontId="0" fillId="0" borderId="21" xfId="0" applyFill="1" applyBorder="1" applyAlignment="1">
      <alignment horizontal="center" vertical="center"/>
    </xf>
    <xf numFmtId="1" fontId="0" fillId="0" borderId="19" xfId="0" applyNumberFormat="1" applyFont="1" applyFill="1" applyBorder="1" applyAlignment="1">
      <alignment horizontal="center" vertical="center"/>
    </xf>
    <xf numFmtId="2" fontId="0" fillId="0" borderId="23" xfId="0" applyNumberFormat="1" applyFont="1" applyFill="1" applyBorder="1" applyAlignment="1">
      <alignment horizontal="right" vertical="center" wrapText="1"/>
    </xf>
    <xf numFmtId="1" fontId="0" fillId="0" borderId="21" xfId="0" applyNumberFormat="1" applyFont="1" applyFill="1" applyBorder="1" applyAlignment="1">
      <alignment vertical="center" wrapText="1"/>
    </xf>
    <xf numFmtId="1" fontId="0" fillId="0" borderId="24" xfId="0" applyNumberFormat="1" applyFont="1" applyFill="1" applyBorder="1" applyAlignment="1">
      <alignment horizontal="center" vertical="center"/>
    </xf>
    <xf numFmtId="0" fontId="0" fillId="0" borderId="24" xfId="0" applyFill="1" applyBorder="1" applyAlignment="1">
      <alignment horizontal="center" vertical="center"/>
    </xf>
    <xf numFmtId="4" fontId="0" fillId="0" borderId="24" xfId="0" applyNumberFormat="1" applyFont="1" applyFill="1" applyBorder="1" applyAlignment="1">
      <alignment horizontal="right" vertical="center" wrapText="1"/>
    </xf>
    <xf numFmtId="1" fontId="0" fillId="0" borderId="24" xfId="0" applyNumberFormat="1" applyFont="1" applyFill="1" applyBorder="1" applyAlignment="1">
      <alignment vertical="center" wrapText="1"/>
    </xf>
    <xf numFmtId="1" fontId="0" fillId="0" borderId="24" xfId="0" applyNumberFormat="1" applyFill="1" applyBorder="1" applyAlignment="1">
      <alignment/>
    </xf>
    <xf numFmtId="0" fontId="25" fillId="0" borderId="24" xfId="0" applyFont="1" applyBorder="1" applyAlignment="1">
      <alignment/>
    </xf>
    <xf numFmtId="1" fontId="0" fillId="0" borderId="24" xfId="0" applyNumberFormat="1" applyBorder="1" applyAlignment="1">
      <alignment/>
    </xf>
    <xf numFmtId="1" fontId="14" fillId="0" borderId="1" xfId="0" applyNumberFormat="1" applyFont="1" applyFill="1" applyBorder="1" applyAlignment="1">
      <alignment/>
    </xf>
    <xf numFmtId="1" fontId="14" fillId="0" borderId="1" xfId="0" applyNumberFormat="1" applyFont="1" applyFill="1" applyBorder="1" applyAlignment="1">
      <alignment vertical="center"/>
    </xf>
    <xf numFmtId="1" fontId="14" fillId="0" borderId="1" xfId="0" applyNumberFormat="1" applyFont="1" applyFill="1" applyBorder="1" applyAlignment="1">
      <alignment horizontal="right" vertical="center"/>
    </xf>
    <xf numFmtId="0" fontId="14" fillId="0" borderId="1" xfId="0" applyFont="1" applyFill="1" applyBorder="1" applyAlignment="1">
      <alignment vertical="center" wrapText="1"/>
    </xf>
    <xf numFmtId="2" fontId="14" fillId="0" borderId="1" xfId="0" applyNumberFormat="1" applyFont="1" applyFill="1" applyBorder="1" applyAlignment="1">
      <alignment horizontal="right" vertical="center"/>
    </xf>
    <xf numFmtId="4" fontId="14" fillId="0" borderId="1" xfId="0" applyNumberFormat="1" applyFont="1" applyFill="1" applyBorder="1" applyAlignment="1">
      <alignment horizontal="right" vertical="center" wrapText="1"/>
    </xf>
    <xf numFmtId="0" fontId="28" fillId="0" borderId="1" xfId="0" applyFont="1" applyBorder="1" applyAlignment="1">
      <alignment/>
    </xf>
    <xf numFmtId="1" fontId="14" fillId="0" borderId="1" xfId="0" applyNumberFormat="1" applyFont="1" applyBorder="1" applyAlignment="1">
      <alignment/>
    </xf>
    <xf numFmtId="1" fontId="0" fillId="0" borderId="0" xfId="0" applyNumberFormat="1" applyFont="1" applyFill="1" applyBorder="1" applyAlignment="1">
      <alignment/>
    </xf>
    <xf numFmtId="1" fontId="0" fillId="0" borderId="0" xfId="0" applyNumberFormat="1" applyFont="1" applyFill="1" applyBorder="1" applyAlignment="1">
      <alignment vertical="center"/>
    </xf>
    <xf numFmtId="1"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2"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0" xfId="0" applyFont="1" applyFill="1" applyBorder="1" applyAlignment="1">
      <alignment vertical="center" wrapText="1"/>
    </xf>
    <xf numFmtId="1" fontId="14" fillId="0" borderId="0" xfId="0" applyNumberFormat="1" applyFont="1" applyFill="1" applyBorder="1" applyAlignment="1">
      <alignment/>
    </xf>
    <xf numFmtId="1" fontId="14" fillId="0" borderId="0" xfId="0" applyNumberFormat="1" applyFont="1" applyFill="1" applyBorder="1" applyAlignment="1">
      <alignment vertical="center"/>
    </xf>
    <xf numFmtId="1" fontId="14" fillId="0" borderId="0" xfId="0" applyNumberFormat="1" applyFont="1" applyFill="1" applyBorder="1" applyAlignment="1">
      <alignment horizontal="right" vertical="center"/>
    </xf>
    <xf numFmtId="0" fontId="14" fillId="0" borderId="0" xfId="0" applyFont="1" applyFill="1" applyBorder="1" applyAlignment="1">
      <alignment vertical="center"/>
    </xf>
    <xf numFmtId="2" fontId="14" fillId="0" borderId="0" xfId="0" applyNumberFormat="1" applyFont="1" applyFill="1" applyBorder="1" applyAlignment="1">
      <alignment horizontal="right" vertical="center"/>
    </xf>
    <xf numFmtId="4" fontId="14" fillId="0" borderId="0" xfId="0" applyNumberFormat="1" applyFont="1" applyFill="1" applyBorder="1" applyAlignment="1">
      <alignment horizontal="right" vertical="center" wrapText="1"/>
    </xf>
    <xf numFmtId="0" fontId="14" fillId="0" borderId="0" xfId="0" applyFont="1" applyFill="1" applyBorder="1" applyAlignment="1">
      <alignment vertical="center" wrapText="1"/>
    </xf>
    <xf numFmtId="0" fontId="28" fillId="0" borderId="0" xfId="0" applyFont="1" applyAlignment="1">
      <alignment/>
    </xf>
    <xf numFmtId="1" fontId="14" fillId="0" borderId="0" xfId="0" applyNumberFormat="1" applyFont="1" applyFill="1" applyAlignment="1">
      <alignment/>
    </xf>
    <xf numFmtId="1" fontId="14" fillId="0" borderId="0" xfId="0" applyNumberFormat="1" applyFont="1" applyAlignment="1">
      <alignment/>
    </xf>
    <xf numFmtId="1" fontId="0" fillId="0" borderId="22" xfId="0" applyNumberFormat="1" applyFont="1" applyFill="1" applyBorder="1" applyAlignment="1">
      <alignment horizontal="center" vertical="center"/>
    </xf>
    <xf numFmtId="0" fontId="0" fillId="0" borderId="21" xfId="0" applyFont="1" applyFill="1" applyBorder="1" applyAlignment="1">
      <alignment horizontal="justify" vertical="center" wrapText="1"/>
    </xf>
    <xf numFmtId="2" fontId="0" fillId="0" borderId="21" xfId="0" applyNumberFormat="1" applyFill="1" applyBorder="1" applyAlignment="1">
      <alignment vertical="center"/>
    </xf>
    <xf numFmtId="2" fontId="0" fillId="0" borderId="21" xfId="0" applyNumberFormat="1" applyFont="1" applyFill="1" applyBorder="1" applyAlignment="1">
      <alignment horizontal="left" vertical="center" wrapText="1"/>
    </xf>
    <xf numFmtId="0" fontId="14" fillId="0" borderId="1" xfId="0" applyFont="1" applyFill="1" applyBorder="1" applyAlignment="1">
      <alignment vertical="center"/>
    </xf>
    <xf numFmtId="0" fontId="0" fillId="0" borderId="0" xfId="0" applyFont="1" applyFill="1" applyBorder="1" applyAlignment="1">
      <alignment horizontal="left" vertical="center"/>
    </xf>
    <xf numFmtId="1" fontId="0" fillId="0" borderId="7" xfId="0" applyNumberFormat="1" applyFont="1" applyFill="1" applyBorder="1" applyAlignment="1">
      <alignment/>
    </xf>
    <xf numFmtId="1" fontId="0" fillId="0" borderId="7" xfId="0" applyNumberFormat="1" applyFont="1" applyBorder="1" applyAlignment="1">
      <alignment/>
    </xf>
    <xf numFmtId="0" fontId="0" fillId="0" borderId="7" xfId="0" applyFont="1" applyFill="1" applyBorder="1" applyAlignment="1">
      <alignment horizontal="justify" vertical="center" wrapText="1"/>
    </xf>
    <xf numFmtId="0" fontId="0" fillId="0" borderId="7" xfId="0" applyFont="1" applyFill="1" applyBorder="1" applyAlignment="1">
      <alignment horizontal="justify" vertical="center"/>
    </xf>
    <xf numFmtId="173" fontId="0" fillId="0" borderId="7" xfId="0" applyNumberFormat="1" applyFont="1" applyFill="1" applyBorder="1" applyAlignment="1">
      <alignment horizontal="left" vertical="center" wrapText="1"/>
    </xf>
    <xf numFmtId="1" fontId="14" fillId="0" borderId="1" xfId="0" applyNumberFormat="1" applyFont="1" applyFill="1" applyBorder="1" applyAlignment="1">
      <alignment horizontal="center"/>
    </xf>
    <xf numFmtId="1" fontId="14" fillId="0" borderId="1" xfId="0" applyNumberFormat="1" applyFont="1" applyFill="1" applyBorder="1" applyAlignment="1">
      <alignment horizontal="center" vertical="center"/>
    </xf>
    <xf numFmtId="0" fontId="14" fillId="0" borderId="1" xfId="0" applyFont="1" applyFill="1" applyBorder="1" applyAlignment="1">
      <alignment/>
    </xf>
    <xf numFmtId="0" fontId="14" fillId="0" borderId="1" xfId="0" applyFont="1" applyBorder="1" applyAlignment="1">
      <alignment/>
    </xf>
    <xf numFmtId="0" fontId="0" fillId="0" borderId="7" xfId="0" applyFont="1" applyFill="1" applyBorder="1" applyAlignment="1">
      <alignment horizontal="justify"/>
    </xf>
    <xf numFmtId="173" fontId="0" fillId="0" borderId="7" xfId="0" applyNumberFormat="1" applyFont="1" applyFill="1" applyBorder="1" applyAlignment="1">
      <alignment horizontal="left" vertical="top" wrapText="1"/>
    </xf>
    <xf numFmtId="4" fontId="0" fillId="0" borderId="21" xfId="0" applyNumberFormat="1" applyFont="1" applyFill="1" applyBorder="1" applyAlignment="1">
      <alignment horizontal="right" vertical="center"/>
    </xf>
    <xf numFmtId="0" fontId="23" fillId="0" borderId="7" xfId="0" applyNumberFormat="1" applyFont="1" applyFill="1" applyBorder="1" applyAlignment="1">
      <alignment vertical="center" wrapText="1"/>
    </xf>
    <xf numFmtId="1"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left" vertical="center" wrapText="1"/>
    </xf>
    <xf numFmtId="4" fontId="0" fillId="0" borderId="24"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0" fontId="23" fillId="0" borderId="25" xfId="0" applyNumberFormat="1" applyFont="1" applyFill="1" applyBorder="1" applyAlignment="1">
      <alignment vertical="center" wrapText="1"/>
    </xf>
    <xf numFmtId="4" fontId="14" fillId="0" borderId="26" xfId="0" applyNumberFormat="1" applyFont="1" applyFill="1" applyBorder="1" applyAlignment="1">
      <alignment horizontal="right" vertical="center"/>
    </xf>
    <xf numFmtId="0" fontId="14" fillId="0" borderId="16" xfId="0" applyFont="1" applyFill="1" applyBorder="1" applyAlignment="1">
      <alignment wrapText="1"/>
    </xf>
    <xf numFmtId="0" fontId="8" fillId="0" borderId="27" xfId="0" applyFont="1" applyFill="1" applyBorder="1" applyAlignment="1">
      <alignment vertical="center"/>
    </xf>
    <xf numFmtId="4" fontId="0" fillId="0" borderId="23" xfId="0" applyNumberFormat="1" applyFont="1" applyFill="1" applyBorder="1" applyAlignment="1">
      <alignment horizontal="right" vertical="center" wrapText="1"/>
    </xf>
    <xf numFmtId="0" fontId="0" fillId="0" borderId="23" xfId="0" applyFont="1" applyFill="1" applyBorder="1" applyAlignment="1">
      <alignment vertical="center" wrapText="1"/>
    </xf>
    <xf numFmtId="2" fontId="14" fillId="0" borderId="7" xfId="0" applyNumberFormat="1" applyFont="1" applyFill="1" applyBorder="1" applyAlignment="1">
      <alignment horizontal="left" vertical="center" wrapText="1"/>
    </xf>
    <xf numFmtId="14" fontId="11"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3" fontId="30" fillId="6" borderId="3" xfId="0" applyNumberFormat="1" applyFont="1" applyFill="1" applyBorder="1" applyAlignment="1">
      <alignment horizontal="center" vertical="center" wrapText="1"/>
    </xf>
    <xf numFmtId="3" fontId="4" fillId="6" borderId="6" xfId="0" applyNumberFormat="1" applyFont="1" applyFill="1" applyBorder="1" applyAlignment="1">
      <alignment horizontal="center" vertical="center" wrapText="1"/>
    </xf>
    <xf numFmtId="4" fontId="11" fillId="6" borderId="6" xfId="0"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14" fontId="11" fillId="6" borderId="6" xfId="0" applyNumberFormat="1" applyFont="1" applyFill="1" applyBorder="1" applyAlignment="1">
      <alignment horizontal="center" vertical="center" wrapText="1"/>
    </xf>
    <xf numFmtId="3" fontId="6" fillId="0" borderId="7" xfId="0" applyNumberFormat="1" applyFont="1" applyBorder="1" applyAlignment="1">
      <alignment vertical="center"/>
    </xf>
    <xf numFmtId="4" fontId="11" fillId="6" borderId="6" xfId="0" applyNumberFormat="1" applyFont="1" applyFill="1" applyBorder="1" applyAlignment="1">
      <alignment horizontal="right" vertical="center" wrapText="1"/>
    </xf>
    <xf numFmtId="4" fontId="4" fillId="0" borderId="7" xfId="0" applyNumberFormat="1" applyFont="1" applyBorder="1" applyAlignment="1">
      <alignment vertical="center" wrapText="1"/>
    </xf>
    <xf numFmtId="0" fontId="0" fillId="0" borderId="0" xfId="0" applyBorder="1" applyAlignment="1">
      <alignment vertical="center"/>
    </xf>
    <xf numFmtId="4" fontId="4" fillId="0" borderId="21" xfId="0" applyNumberFormat="1" applyFont="1" applyBorder="1" applyAlignment="1">
      <alignment vertical="center" wrapText="1"/>
    </xf>
    <xf numFmtId="3" fontId="31" fillId="0" borderId="21" xfId="0" applyNumberFormat="1" applyFont="1" applyBorder="1" applyAlignment="1">
      <alignment vertical="center"/>
    </xf>
    <xf numFmtId="3" fontId="30" fillId="4" borderId="1" xfId="0" applyNumberFormat="1" applyFont="1" applyFill="1" applyBorder="1" applyAlignment="1">
      <alignment vertical="center"/>
    </xf>
    <xf numFmtId="3" fontId="0" fillId="4" borderId="1" xfId="0" applyNumberFormat="1" applyFill="1" applyBorder="1" applyAlignment="1">
      <alignment vertical="center"/>
    </xf>
    <xf numFmtId="3" fontId="0" fillId="0" borderId="1" xfId="0" applyNumberFormat="1" applyBorder="1" applyAlignment="1">
      <alignment vertical="center"/>
    </xf>
    <xf numFmtId="3" fontId="30" fillId="0" borderId="6" xfId="0" applyNumberFormat="1" applyFont="1" applyBorder="1" applyAlignment="1">
      <alignment vertical="center"/>
    </xf>
    <xf numFmtId="4" fontId="30" fillId="0" borderId="6" xfId="0" applyNumberFormat="1" applyFont="1" applyBorder="1" applyAlignment="1">
      <alignment vertical="center" wrapText="1"/>
    </xf>
    <xf numFmtId="3" fontId="30" fillId="0" borderId="7" xfId="0" applyNumberFormat="1" applyFont="1" applyBorder="1" applyAlignment="1">
      <alignment vertical="center"/>
    </xf>
    <xf numFmtId="4" fontId="30" fillId="0" borderId="7" xfId="0" applyNumberFormat="1" applyFont="1" applyBorder="1" applyAlignment="1">
      <alignment vertical="center" wrapText="1"/>
    </xf>
    <xf numFmtId="3" fontId="6" fillId="0" borderId="9" xfId="0" applyNumberFormat="1" applyFont="1" applyBorder="1" applyAlignment="1">
      <alignment horizontal="left" vertical="center"/>
    </xf>
    <xf numFmtId="0" fontId="4" fillId="0" borderId="9" xfId="0" applyFont="1" applyBorder="1" applyAlignment="1">
      <alignment vertical="center"/>
    </xf>
    <xf numFmtId="4" fontId="30" fillId="4" borderId="1" xfId="0" applyNumberFormat="1" applyFont="1" applyFill="1" applyBorder="1" applyAlignment="1">
      <alignment vertical="center" wrapText="1"/>
    </xf>
    <xf numFmtId="3" fontId="4" fillId="0" borderId="0" xfId="0" applyNumberFormat="1" applyFont="1" applyBorder="1" applyAlignment="1">
      <alignment vertical="center"/>
    </xf>
    <xf numFmtId="3" fontId="0" fillId="0" borderId="0" xfId="0" applyNumberFormat="1" applyBorder="1" applyAlignment="1">
      <alignment vertical="center"/>
    </xf>
    <xf numFmtId="4" fontId="4" fillId="0" borderId="0" xfId="0" applyNumberFormat="1" applyFont="1" applyBorder="1" applyAlignment="1">
      <alignment vertical="center"/>
    </xf>
    <xf numFmtId="4" fontId="0" fillId="0" borderId="0" xfId="0" applyNumberFormat="1" applyBorder="1" applyAlignment="1">
      <alignment vertical="center"/>
    </xf>
    <xf numFmtId="0" fontId="4" fillId="2" borderId="1" xfId="0" applyFont="1" applyFill="1" applyBorder="1" applyAlignment="1">
      <alignment horizontal="center" vertical="center" wrapText="1"/>
    </xf>
    <xf numFmtId="14" fontId="11" fillId="2" borderId="26" xfId="0" applyNumberFormat="1" applyFont="1" applyFill="1" applyBorder="1" applyAlignment="1">
      <alignment horizontal="center" vertical="center" wrapText="1"/>
    </xf>
    <xf numFmtId="3" fontId="30" fillId="0" borderId="6" xfId="0" applyNumberFormat="1" applyFont="1" applyFill="1" applyBorder="1" applyAlignment="1">
      <alignment horizontal="center" vertical="center"/>
    </xf>
    <xf numFmtId="3" fontId="4" fillId="0" borderId="6" xfId="0"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4" fontId="11" fillId="2" borderId="0" xfId="0" applyNumberFormat="1" applyFont="1" applyFill="1" applyBorder="1" applyAlignment="1">
      <alignment horizontal="center" vertical="center" wrapText="1"/>
    </xf>
    <xf numFmtId="4" fontId="4" fillId="6" borderId="6" xfId="0" applyNumberFormat="1" applyFont="1" applyFill="1" applyBorder="1" applyAlignment="1">
      <alignment horizontal="right" vertical="center" wrapText="1"/>
    </xf>
    <xf numFmtId="14" fontId="4" fillId="0" borderId="6" xfId="0" applyNumberFormat="1" applyFont="1" applyFill="1" applyBorder="1" applyAlignment="1">
      <alignment horizontal="center" vertical="center" wrapText="1"/>
    </xf>
    <xf numFmtId="3" fontId="31" fillId="0" borderId="7" xfId="0" applyNumberFormat="1" applyFont="1" applyBorder="1" applyAlignment="1">
      <alignment vertical="center"/>
    </xf>
    <xf numFmtId="3" fontId="4" fillId="0" borderId="7" xfId="0" applyNumberFormat="1" applyFont="1" applyBorder="1" applyAlignment="1">
      <alignment horizontal="left" vertical="center"/>
    </xf>
    <xf numFmtId="3" fontId="4" fillId="0" borderId="21" xfId="0" applyNumberFormat="1" applyFont="1" applyBorder="1" applyAlignment="1">
      <alignment horizontal="left" vertical="center"/>
    </xf>
    <xf numFmtId="0" fontId="0" fillId="0" borderId="26" xfId="0" applyBorder="1" applyAlignment="1">
      <alignment vertical="center"/>
    </xf>
    <xf numFmtId="3" fontId="30" fillId="0" borderId="6" xfId="0" applyNumberFormat="1" applyFont="1" applyBorder="1" applyAlignment="1">
      <alignment horizontal="center" vertical="center"/>
    </xf>
    <xf numFmtId="3" fontId="4" fillId="0" borderId="6" xfId="0" applyNumberFormat="1" applyFont="1" applyBorder="1" applyAlignment="1">
      <alignment vertical="center" wrapText="1"/>
    </xf>
    <xf numFmtId="3" fontId="4" fillId="0" borderId="7" xfId="0" applyNumberFormat="1" applyFont="1" applyBorder="1" applyAlignment="1">
      <alignment vertical="center" wrapText="1"/>
    </xf>
    <xf numFmtId="0" fontId="0" fillId="0" borderId="7" xfId="0" applyBorder="1" applyAlignment="1">
      <alignment vertical="center"/>
    </xf>
    <xf numFmtId="0" fontId="4" fillId="0" borderId="7" xfId="0" applyFont="1" applyBorder="1" applyAlignment="1">
      <alignment vertical="center" wrapText="1"/>
    </xf>
    <xf numFmtId="0" fontId="4" fillId="0" borderId="7" xfId="0" applyFont="1" applyBorder="1" applyAlignment="1">
      <alignment vertical="center"/>
    </xf>
    <xf numFmtId="0" fontId="0" fillId="0" borderId="28" xfId="0" applyBorder="1" applyAlignment="1">
      <alignment vertical="center"/>
    </xf>
    <xf numFmtId="3" fontId="4" fillId="0" borderId="21" xfId="0" applyNumberFormat="1" applyFont="1" applyBorder="1" applyAlignment="1">
      <alignment vertical="center"/>
    </xf>
    <xf numFmtId="3" fontId="4" fillId="0" borderId="21" xfId="0" applyNumberFormat="1" applyFont="1" applyBorder="1" applyAlignment="1">
      <alignment horizontal="left" vertical="top" shrinkToFit="1"/>
    </xf>
    <xf numFmtId="3" fontId="32" fillId="0" borderId="1" xfId="0" applyNumberFormat="1" applyFont="1" applyFill="1" applyBorder="1" applyAlignment="1">
      <alignment vertical="center"/>
    </xf>
    <xf numFmtId="1" fontId="14" fillId="0" borderId="23" xfId="0" applyNumberFormat="1" applyFont="1" applyFill="1" applyBorder="1" applyAlignment="1">
      <alignment horizontal="left"/>
    </xf>
    <xf numFmtId="0" fontId="0" fillId="0" borderId="6" xfId="0" applyFont="1" applyFill="1" applyBorder="1" applyAlignment="1">
      <alignment horizontal="left" vertical="center"/>
    </xf>
    <xf numFmtId="4" fontId="0" fillId="0" borderId="6" xfId="0" applyNumberFormat="1" applyFont="1" applyFill="1" applyBorder="1" applyAlignment="1">
      <alignment horizontal="right" vertical="center"/>
    </xf>
    <xf numFmtId="0" fontId="14" fillId="0" borderId="7"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29" xfId="0" applyFont="1" applyFill="1" applyBorder="1" applyAlignment="1">
      <alignment horizontal="center" vertical="center" wrapText="1"/>
    </xf>
    <xf numFmtId="4" fontId="8" fillId="2" borderId="29" xfId="0" applyNumberFormat="1" applyFont="1" applyFill="1" applyBorder="1" applyAlignment="1">
      <alignment horizontal="center" vertical="center" wrapText="1"/>
    </xf>
    <xf numFmtId="0" fontId="8" fillId="0" borderId="30" xfId="0" applyFont="1" applyFill="1" applyBorder="1" applyAlignment="1">
      <alignment vertical="center"/>
    </xf>
    <xf numFmtId="0" fontId="8" fillId="0" borderId="3" xfId="0" applyFont="1" applyFill="1" applyBorder="1" applyAlignment="1">
      <alignment horizontal="left" vertical="center"/>
    </xf>
    <xf numFmtId="0" fontId="8" fillId="0" borderId="6" xfId="0" applyFont="1" applyFill="1" applyBorder="1" applyAlignment="1">
      <alignment horizontal="center" vertical="center"/>
    </xf>
    <xf numFmtId="0" fontId="8" fillId="0" borderId="6" xfId="0" applyFont="1" applyFill="1" applyBorder="1" applyAlignment="1">
      <alignment vertical="center"/>
    </xf>
    <xf numFmtId="4" fontId="8" fillId="0" borderId="6" xfId="15" applyNumberFormat="1" applyFont="1" applyFill="1" applyBorder="1" applyAlignment="1">
      <alignment horizontal="right" vertical="center"/>
    </xf>
    <xf numFmtId="4" fontId="8" fillId="0" borderId="19" xfId="0" applyNumberFormat="1" applyFont="1" applyFill="1" applyBorder="1" applyAlignment="1">
      <alignment vertical="center"/>
    </xf>
    <xf numFmtId="4" fontId="8" fillId="0" borderId="6" xfId="0" applyNumberFormat="1" applyFont="1" applyFill="1" applyBorder="1" applyAlignment="1">
      <alignment horizontal="right" vertical="center" wrapText="1"/>
    </xf>
    <xf numFmtId="0" fontId="8" fillId="0" borderId="23" xfId="0" applyFont="1" applyFill="1" applyBorder="1" applyAlignment="1">
      <alignment vertical="center" wrapText="1"/>
    </xf>
    <xf numFmtId="0" fontId="8" fillId="0" borderId="7" xfId="0" applyFont="1" applyFill="1" applyBorder="1" applyAlignment="1">
      <alignment vertical="center" wrapText="1"/>
    </xf>
    <xf numFmtId="0" fontId="8" fillId="0" borderId="9" xfId="0" applyFont="1" applyFill="1" applyBorder="1" applyAlignment="1">
      <alignment horizontal="left" vertical="center"/>
    </xf>
    <xf numFmtId="4" fontId="8" fillId="0" borderId="20" xfId="0" applyNumberFormat="1" applyFont="1" applyFill="1" applyBorder="1" applyAlignment="1">
      <alignment vertical="center"/>
    </xf>
    <xf numFmtId="4" fontId="8" fillId="0" borderId="7" xfId="0" applyNumberFormat="1" applyFont="1" applyFill="1" applyBorder="1" applyAlignment="1">
      <alignment horizontal="right" vertical="center" wrapText="1"/>
    </xf>
    <xf numFmtId="0" fontId="8" fillId="0" borderId="7" xfId="0" applyFont="1" applyFill="1" applyBorder="1" applyAlignment="1">
      <alignment vertical="center"/>
    </xf>
    <xf numFmtId="0" fontId="8" fillId="0" borderId="7" xfId="0" applyFont="1" applyFill="1" applyBorder="1" applyAlignment="1">
      <alignment horizontal="center" vertical="center"/>
    </xf>
    <xf numFmtId="0" fontId="8" fillId="0" borderId="21" xfId="0" applyFont="1" applyFill="1" applyBorder="1" applyAlignment="1">
      <alignment vertical="center" wrapText="1"/>
    </xf>
    <xf numFmtId="0" fontId="8" fillId="0" borderId="6" xfId="0" applyFont="1" applyFill="1" applyBorder="1" applyAlignment="1">
      <alignment vertical="center" wrapText="1"/>
    </xf>
    <xf numFmtId="0" fontId="8" fillId="0" borderId="31" xfId="0" applyFont="1" applyFill="1" applyBorder="1" applyAlignment="1">
      <alignment vertical="center"/>
    </xf>
    <xf numFmtId="4" fontId="8" fillId="0" borderId="22" xfId="0" applyNumberFormat="1" applyFont="1" applyFill="1" applyBorder="1" applyAlignment="1">
      <alignment vertical="center"/>
    </xf>
    <xf numFmtId="0" fontId="9" fillId="7" borderId="32" xfId="0" applyFont="1" applyFill="1" applyBorder="1" applyAlignment="1">
      <alignment vertical="center"/>
    </xf>
    <xf numFmtId="0" fontId="8" fillId="7" borderId="33" xfId="0" applyFont="1" applyFill="1" applyBorder="1" applyAlignment="1">
      <alignment horizontal="center" vertical="center"/>
    </xf>
    <xf numFmtId="0" fontId="8" fillId="7" borderId="33" xfId="0" applyFont="1" applyFill="1" applyBorder="1" applyAlignment="1">
      <alignment vertical="center"/>
    </xf>
    <xf numFmtId="4" fontId="9" fillId="7" borderId="24" xfId="0" applyNumberFormat="1" applyFont="1" applyFill="1" applyBorder="1" applyAlignment="1">
      <alignment vertical="center"/>
    </xf>
    <xf numFmtId="4" fontId="9" fillId="7" borderId="25" xfId="0" applyNumberFormat="1" applyFont="1" applyFill="1" applyBorder="1" applyAlignment="1">
      <alignment vertical="center"/>
    </xf>
    <xf numFmtId="0" fontId="8" fillId="7" borderId="25" xfId="0" applyFont="1" applyFill="1" applyBorder="1" applyAlignment="1">
      <alignment vertical="center"/>
    </xf>
    <xf numFmtId="0" fontId="8" fillId="0" borderId="2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9" xfId="0" applyFont="1" applyFill="1" applyBorder="1" applyAlignment="1">
      <alignment vertical="center"/>
    </xf>
    <xf numFmtId="4" fontId="8" fillId="0" borderId="29" xfId="0" applyNumberFormat="1" applyFont="1" applyFill="1" applyBorder="1" applyAlignment="1">
      <alignment vertical="center"/>
    </xf>
    <xf numFmtId="168" fontId="8" fillId="0" borderId="29" xfId="0" applyNumberFormat="1" applyFont="1" applyFill="1" applyBorder="1" applyAlignment="1">
      <alignment horizontal="right" vertical="center"/>
    </xf>
    <xf numFmtId="0" fontId="8" fillId="0" borderId="16" xfId="0" applyFont="1" applyFill="1" applyBorder="1" applyAlignment="1">
      <alignment vertical="center"/>
    </xf>
    <xf numFmtId="0" fontId="8" fillId="0" borderId="34" xfId="0" applyFont="1" applyFill="1" applyBorder="1" applyAlignment="1">
      <alignment horizontal="left" vertical="center"/>
    </xf>
    <xf numFmtId="0" fontId="8" fillId="0" borderId="30" xfId="0" applyFont="1" applyFill="1" applyBorder="1" applyAlignment="1">
      <alignment horizontal="center" vertical="center" wrapText="1"/>
    </xf>
    <xf numFmtId="0" fontId="8" fillId="0" borderId="30" xfId="0" applyFont="1" applyFill="1" applyBorder="1" applyAlignment="1">
      <alignment horizontal="center" vertical="center"/>
    </xf>
    <xf numFmtId="4" fontId="8" fillId="0" borderId="30" xfId="15" applyNumberFormat="1" applyFont="1" applyFill="1" applyBorder="1" applyAlignment="1">
      <alignment horizontal="right" vertical="center"/>
    </xf>
    <xf numFmtId="4" fontId="8" fillId="0" borderId="35" xfId="0" applyNumberFormat="1" applyFont="1" applyFill="1" applyBorder="1" applyAlignment="1">
      <alignment vertical="center"/>
    </xf>
    <xf numFmtId="0" fontId="8" fillId="0" borderId="21"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6" xfId="0" applyFont="1" applyBorder="1" applyAlignment="1">
      <alignment vertical="center" wrapText="1"/>
    </xf>
    <xf numFmtId="4" fontId="8" fillId="0" borderId="7" xfId="15" applyNumberFormat="1" applyFont="1" applyFill="1" applyBorder="1" applyAlignment="1">
      <alignment horizontal="right" vertical="center"/>
    </xf>
    <xf numFmtId="0" fontId="8" fillId="0" borderId="21" xfId="0" applyFont="1" applyFill="1" applyBorder="1" applyAlignment="1">
      <alignment vertical="center"/>
    </xf>
    <xf numFmtId="0" fontId="8" fillId="0" borderId="36" xfId="0" applyFont="1" applyFill="1" applyBorder="1" applyAlignment="1">
      <alignment horizontal="left" vertical="center"/>
    </xf>
    <xf numFmtId="3" fontId="8" fillId="0" borderId="29" xfId="0" applyNumberFormat="1" applyFont="1" applyFill="1" applyBorder="1" applyAlignment="1">
      <alignment vertical="center"/>
    </xf>
    <xf numFmtId="0" fontId="8" fillId="0" borderId="34" xfId="0" applyFont="1" applyFill="1" applyBorder="1" applyAlignment="1">
      <alignment horizontal="left" vertical="center" wrapText="1"/>
    </xf>
    <xf numFmtId="0" fontId="8" fillId="0" borderId="37" xfId="0" applyFont="1" applyFill="1" applyBorder="1" applyAlignment="1">
      <alignment vertical="center"/>
    </xf>
    <xf numFmtId="4" fontId="8" fillId="0" borderId="38" xfId="0" applyNumberFormat="1" applyFont="1" applyFill="1" applyBorder="1" applyAlignment="1">
      <alignment vertical="center"/>
    </xf>
    <xf numFmtId="4" fontId="8" fillId="0" borderId="30" xfId="0" applyNumberFormat="1" applyFont="1" applyFill="1" applyBorder="1" applyAlignment="1">
      <alignment vertical="center"/>
    </xf>
    <xf numFmtId="0" fontId="8" fillId="0" borderId="3" xfId="0" applyFont="1" applyFill="1" applyBorder="1" applyAlignment="1">
      <alignment horizontal="left" vertical="center" wrapText="1"/>
    </xf>
    <xf numFmtId="0" fontId="8" fillId="0" borderId="22"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4" fontId="8" fillId="0" borderId="21" xfId="15" applyNumberFormat="1" applyFont="1" applyFill="1" applyBorder="1" applyAlignment="1">
      <alignment vertical="center"/>
    </xf>
    <xf numFmtId="4" fontId="0" fillId="0" borderId="0" xfId="0" applyNumberFormat="1" applyFont="1" applyBorder="1" applyAlignment="1">
      <alignment vertical="center"/>
    </xf>
    <xf numFmtId="0" fontId="8" fillId="0" borderId="39" xfId="0" applyFont="1" applyFill="1" applyBorder="1" applyAlignment="1">
      <alignment horizontal="left" vertical="center"/>
    </xf>
    <xf numFmtId="4" fontId="9" fillId="7" borderId="24" xfId="0" applyNumberFormat="1" applyFont="1" applyFill="1" applyBorder="1" applyAlignment="1">
      <alignment horizontal="right" vertical="center" wrapText="1"/>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4" fontId="8" fillId="0" borderId="29" xfId="0" applyNumberFormat="1" applyFont="1" applyFill="1" applyBorder="1" applyAlignment="1">
      <alignment horizontal="right" vertical="center" wrapText="1"/>
    </xf>
    <xf numFmtId="3" fontId="8" fillId="0" borderId="29" xfId="0" applyNumberFormat="1" applyFont="1" applyFill="1" applyBorder="1" applyAlignment="1">
      <alignment horizontal="right" vertical="center" wrapText="1"/>
    </xf>
    <xf numFmtId="168" fontId="8" fillId="0" borderId="29" xfId="0" applyNumberFormat="1" applyFont="1" applyFill="1" applyBorder="1" applyAlignment="1">
      <alignment horizontal="right" vertical="center" wrapText="1"/>
    </xf>
    <xf numFmtId="0" fontId="8" fillId="0" borderId="40" xfId="0" applyFont="1" applyFill="1" applyBorder="1" applyAlignment="1">
      <alignment horizontal="left" vertical="center" wrapText="1"/>
    </xf>
    <xf numFmtId="0" fontId="8" fillId="0" borderId="37" xfId="0" applyFont="1" applyFill="1" applyBorder="1" applyAlignment="1">
      <alignment horizontal="center" vertical="center"/>
    </xf>
    <xf numFmtId="4" fontId="8" fillId="0" borderId="38" xfId="0" applyNumberFormat="1" applyFont="1" applyFill="1" applyBorder="1" applyAlignment="1">
      <alignment horizontal="right" vertical="center" wrapText="1"/>
    </xf>
    <xf numFmtId="0" fontId="8" fillId="0" borderId="9" xfId="0" applyFont="1" applyFill="1" applyBorder="1" applyAlignment="1">
      <alignment horizontal="left" vertical="center" wrapText="1"/>
    </xf>
    <xf numFmtId="0" fontId="8" fillId="0" borderId="7" xfId="0" applyFont="1" applyFill="1" applyBorder="1" applyAlignment="1">
      <alignment vertical="top"/>
    </xf>
    <xf numFmtId="0" fontId="8" fillId="0" borderId="6" xfId="0" applyFont="1" applyFill="1" applyBorder="1" applyAlignment="1">
      <alignment vertical="top"/>
    </xf>
    <xf numFmtId="4" fontId="8" fillId="0" borderId="5" xfId="0" applyNumberFormat="1" applyFont="1" applyFill="1" applyBorder="1" applyAlignment="1">
      <alignment horizontal="right" vertical="center" wrapText="1"/>
    </xf>
    <xf numFmtId="4" fontId="8" fillId="0" borderId="20" xfId="0" applyNumberFormat="1" applyFont="1" applyFill="1" applyBorder="1" applyAlignment="1">
      <alignment horizontal="right" vertical="center" wrapText="1"/>
    </xf>
    <xf numFmtId="0" fontId="8" fillId="0" borderId="6" xfId="0" applyFont="1" applyFill="1" applyBorder="1" applyAlignment="1">
      <alignment horizontal="center" vertical="center" wrapText="1"/>
    </xf>
    <xf numFmtId="0" fontId="8" fillId="0" borderId="7" xfId="0" applyFont="1" applyBorder="1" applyAlignment="1">
      <alignment vertical="top"/>
    </xf>
    <xf numFmtId="4" fontId="8" fillId="0" borderId="31" xfId="0" applyNumberFormat="1" applyFont="1" applyFill="1" applyBorder="1" applyAlignment="1">
      <alignment horizontal="right" vertical="center" wrapText="1"/>
    </xf>
    <xf numFmtId="0" fontId="8" fillId="0" borderId="3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4" fillId="7" borderId="32" xfId="0" applyFont="1" applyFill="1" applyBorder="1" applyAlignment="1">
      <alignment vertical="center"/>
    </xf>
    <xf numFmtId="0" fontId="33" fillId="7" borderId="33" xfId="0" applyFont="1" applyFill="1" applyBorder="1" applyAlignment="1">
      <alignment horizontal="center" vertical="center"/>
    </xf>
    <xf numFmtId="0" fontId="33" fillId="7" borderId="33" xfId="0" applyFont="1" applyFill="1" applyBorder="1" applyAlignment="1">
      <alignment vertical="center"/>
    </xf>
    <xf numFmtId="0" fontId="33" fillId="7" borderId="24" xfId="0" applyFont="1" applyFill="1" applyBorder="1" applyAlignment="1">
      <alignment vertical="center"/>
    </xf>
    <xf numFmtId="0" fontId="33" fillId="0" borderId="0" xfId="0" applyFont="1" applyFill="1" applyBorder="1" applyAlignment="1">
      <alignment vertical="center"/>
    </xf>
    <xf numFmtId="3" fontId="33" fillId="0" borderId="0" xfId="0" applyNumberFormat="1" applyFont="1" applyFill="1" applyBorder="1" applyAlignment="1">
      <alignment vertical="center"/>
    </xf>
    <xf numFmtId="0" fontId="34" fillId="4" borderId="26" xfId="0" applyFont="1" applyFill="1" applyBorder="1" applyAlignment="1">
      <alignment horizontal="left" vertical="center"/>
    </xf>
    <xf numFmtId="0" fontId="34" fillId="4" borderId="29" xfId="0" applyFont="1" applyFill="1" applyBorder="1" applyAlignment="1">
      <alignment horizontal="center" vertical="center" wrapText="1"/>
    </xf>
    <xf numFmtId="0" fontId="34" fillId="4" borderId="29" xfId="0" applyFont="1" applyFill="1" applyBorder="1" applyAlignment="1">
      <alignment vertical="center"/>
    </xf>
    <xf numFmtId="0" fontId="34" fillId="4" borderId="29" xfId="0" applyFont="1" applyFill="1" applyBorder="1" applyAlignment="1">
      <alignment vertical="center" wrapText="1"/>
    </xf>
    <xf numFmtId="4" fontId="34" fillId="4" borderId="2" xfId="0" applyNumberFormat="1" applyFont="1" applyFill="1" applyBorder="1" applyAlignment="1">
      <alignment horizontal="right" vertical="center" wrapText="1"/>
    </xf>
    <xf numFmtId="0" fontId="33" fillId="4" borderId="16" xfId="0" applyFont="1" applyFill="1" applyBorder="1" applyAlignment="1">
      <alignment vertical="center" wrapText="1"/>
    </xf>
    <xf numFmtId="0" fontId="33" fillId="0" borderId="0" xfId="0" applyFont="1" applyFill="1" applyAlignment="1">
      <alignment vertical="center"/>
    </xf>
    <xf numFmtId="3" fontId="34" fillId="0" borderId="0" xfId="0" applyNumberFormat="1" applyFont="1" applyFill="1" applyAlignment="1">
      <alignment vertical="center"/>
    </xf>
    <xf numFmtId="0" fontId="33" fillId="0" borderId="26" xfId="0" applyFont="1" applyFill="1" applyBorder="1" applyAlignment="1">
      <alignment vertical="center" wrapText="1"/>
    </xf>
    <xf numFmtId="0" fontId="33" fillId="0" borderId="29" xfId="0" applyFont="1" applyFill="1" applyBorder="1" applyAlignment="1">
      <alignment vertical="center" wrapText="1"/>
    </xf>
    <xf numFmtId="0" fontId="33" fillId="0" borderId="29" xfId="0" applyFont="1" applyFill="1" applyBorder="1" applyAlignment="1">
      <alignment vertical="center"/>
    </xf>
    <xf numFmtId="4" fontId="33" fillId="0" borderId="29" xfId="0" applyNumberFormat="1" applyFont="1" applyFill="1" applyBorder="1" applyAlignment="1">
      <alignment horizontal="right" vertical="center" wrapText="1"/>
    </xf>
    <xf numFmtId="3" fontId="33" fillId="0" borderId="29" xfId="0" applyNumberFormat="1" applyFont="1" applyFill="1" applyBorder="1" applyAlignment="1">
      <alignment horizontal="right" vertical="center" wrapText="1"/>
    </xf>
    <xf numFmtId="168" fontId="33" fillId="0" borderId="29" xfId="0" applyNumberFormat="1" applyFont="1" applyFill="1" applyBorder="1" applyAlignment="1">
      <alignment horizontal="right" vertical="center" wrapText="1"/>
    </xf>
    <xf numFmtId="0" fontId="33" fillId="0" borderId="16" xfId="0" applyFont="1" applyFill="1" applyBorder="1" applyAlignment="1">
      <alignment vertical="center" wrapText="1"/>
    </xf>
    <xf numFmtId="3" fontId="33" fillId="0" borderId="0" xfId="0" applyNumberFormat="1" applyFont="1" applyFill="1" applyAlignment="1">
      <alignment vertical="center"/>
    </xf>
    <xf numFmtId="0" fontId="34" fillId="2" borderId="34" xfId="0" applyFont="1" applyFill="1" applyBorder="1" applyAlignment="1">
      <alignment vertical="center" wrapText="1"/>
    </xf>
    <xf numFmtId="0" fontId="34" fillId="2" borderId="30" xfId="0" applyFont="1" applyFill="1" applyBorder="1" applyAlignment="1">
      <alignment vertical="center" wrapText="1"/>
    </xf>
    <xf numFmtId="4" fontId="34" fillId="2" borderId="30" xfId="0" applyNumberFormat="1" applyFont="1" applyFill="1" applyBorder="1" applyAlignment="1">
      <alignment horizontal="right" vertical="center" wrapText="1"/>
    </xf>
    <xf numFmtId="0" fontId="33" fillId="2" borderId="41" xfId="0" applyFont="1" applyFill="1" applyBorder="1" applyAlignment="1">
      <alignment vertical="center" wrapText="1"/>
    </xf>
    <xf numFmtId="0" fontId="34" fillId="2" borderId="3" xfId="0" applyFont="1" applyFill="1" applyBorder="1" applyAlignment="1">
      <alignment vertical="center" wrapText="1"/>
    </xf>
    <xf numFmtId="0" fontId="34" fillId="2" borderId="6" xfId="0" applyFont="1" applyFill="1" applyBorder="1" applyAlignment="1">
      <alignment vertical="center" wrapText="1"/>
    </xf>
    <xf numFmtId="4" fontId="34" fillId="2" borderId="6" xfId="0" applyNumberFormat="1" applyFont="1" applyFill="1" applyBorder="1" applyAlignment="1">
      <alignment horizontal="right" vertical="center" wrapText="1"/>
    </xf>
    <xf numFmtId="4" fontId="34" fillId="2" borderId="5" xfId="0" applyNumberFormat="1" applyFont="1" applyFill="1" applyBorder="1" applyAlignment="1">
      <alignment horizontal="right" vertical="center" wrapText="1"/>
    </xf>
    <xf numFmtId="0" fontId="33" fillId="2" borderId="8" xfId="0" applyFont="1" applyFill="1" applyBorder="1" applyAlignment="1">
      <alignment vertical="center" wrapText="1"/>
    </xf>
    <xf numFmtId="0" fontId="33" fillId="2" borderId="9" xfId="0" applyFont="1" applyFill="1" applyBorder="1" applyAlignment="1">
      <alignment vertical="center" wrapText="1"/>
    </xf>
    <xf numFmtId="0" fontId="33" fillId="2" borderId="7" xfId="0" applyFont="1" applyFill="1" applyBorder="1" applyAlignment="1">
      <alignment vertical="center" wrapText="1"/>
    </xf>
    <xf numFmtId="4" fontId="33" fillId="2" borderId="7" xfId="0" applyNumberFormat="1" applyFont="1" applyFill="1" applyBorder="1" applyAlignment="1">
      <alignment horizontal="right" vertical="center" wrapText="1"/>
    </xf>
    <xf numFmtId="4" fontId="33" fillId="2" borderId="20" xfId="0" applyNumberFormat="1" applyFont="1" applyFill="1" applyBorder="1" applyAlignment="1">
      <alignment horizontal="right" vertical="center" wrapText="1"/>
    </xf>
    <xf numFmtId="0" fontId="33" fillId="2" borderId="11" xfId="0" applyFont="1" applyFill="1" applyBorder="1" applyAlignment="1">
      <alignment vertical="center" wrapText="1"/>
    </xf>
    <xf numFmtId="0" fontId="33" fillId="2" borderId="9" xfId="0" applyFont="1" applyFill="1" applyBorder="1" applyAlignment="1">
      <alignment vertical="center"/>
    </xf>
    <xf numFmtId="0" fontId="34" fillId="2" borderId="9" xfId="0" applyFont="1" applyFill="1" applyBorder="1" applyAlignment="1">
      <alignment vertical="center" wrapText="1"/>
    </xf>
    <xf numFmtId="0" fontId="34" fillId="2" borderId="7" xfId="0" applyFont="1" applyFill="1" applyBorder="1" applyAlignment="1">
      <alignment vertical="center" wrapText="1"/>
    </xf>
    <xf numFmtId="4" fontId="34" fillId="2" borderId="7" xfId="0" applyNumberFormat="1" applyFont="1" applyFill="1" applyBorder="1" applyAlignment="1">
      <alignment horizontal="right" vertical="center" wrapText="1"/>
    </xf>
    <xf numFmtId="0" fontId="34" fillId="2" borderId="39" xfId="0" applyFont="1" applyFill="1" applyBorder="1" applyAlignment="1">
      <alignment vertical="center"/>
    </xf>
    <xf numFmtId="0" fontId="34" fillId="2" borderId="21" xfId="0" applyFont="1" applyFill="1" applyBorder="1" applyAlignment="1">
      <alignment vertical="center" wrapText="1"/>
    </xf>
    <xf numFmtId="4" fontId="34" fillId="2" borderId="21" xfId="0" applyNumberFormat="1" applyFont="1" applyFill="1" applyBorder="1" applyAlignment="1">
      <alignment horizontal="right" vertical="center" wrapText="1"/>
    </xf>
    <xf numFmtId="0" fontId="33" fillId="2" borderId="42" xfId="0" applyFont="1" applyFill="1" applyBorder="1" applyAlignment="1">
      <alignment vertical="center" wrapText="1"/>
    </xf>
    <xf numFmtId="0" fontId="34" fillId="4" borderId="26" xfId="0" applyFont="1" applyFill="1" applyBorder="1" applyAlignment="1">
      <alignment vertical="center"/>
    </xf>
    <xf numFmtId="0" fontId="33" fillId="4" borderId="29" xfId="0" applyFont="1" applyFill="1" applyBorder="1" applyAlignment="1">
      <alignment vertical="center" wrapText="1"/>
    </xf>
    <xf numFmtId="0" fontId="34" fillId="4" borderId="13" xfId="0" applyFont="1" applyFill="1" applyBorder="1" applyAlignment="1">
      <alignment vertical="center" wrapText="1"/>
    </xf>
    <xf numFmtId="4" fontId="34" fillId="4" borderId="14" xfId="0" applyNumberFormat="1" applyFont="1" applyFill="1" applyBorder="1" applyAlignment="1">
      <alignment horizontal="right" vertical="center" wrapText="1"/>
    </xf>
    <xf numFmtId="0" fontId="34" fillId="4" borderId="15" xfId="0" applyFont="1" applyFill="1" applyBorder="1" applyAlignment="1">
      <alignment vertical="center" wrapText="1"/>
    </xf>
    <xf numFmtId="0" fontId="34" fillId="0" borderId="0" xfId="0" applyFont="1" applyFill="1" applyAlignment="1">
      <alignment vertical="center"/>
    </xf>
    <xf numFmtId="4" fontId="33" fillId="0" borderId="0" xfId="0" applyNumberFormat="1" applyFont="1" applyFill="1" applyAlignment="1">
      <alignment vertical="center"/>
    </xf>
    <xf numFmtId="0" fontId="8" fillId="0" borderId="0" xfId="0" applyFont="1" applyFill="1" applyAlignment="1">
      <alignment vertical="center" wrapText="1"/>
    </xf>
    <xf numFmtId="4" fontId="29" fillId="0" borderId="0" xfId="0" applyNumberFormat="1" applyFont="1" applyFill="1" applyAlignment="1">
      <alignment horizontal="right" vertical="center" wrapText="1"/>
    </xf>
    <xf numFmtId="4" fontId="9" fillId="0" borderId="0" xfId="0" applyNumberFormat="1" applyFont="1" applyFill="1" applyAlignment="1">
      <alignment horizontal="right" vertical="center" wrapText="1"/>
    </xf>
    <xf numFmtId="0" fontId="35" fillId="0" borderId="0" xfId="0" applyFont="1" applyFill="1" applyAlignment="1">
      <alignment vertical="center" wrapText="1"/>
    </xf>
    <xf numFmtId="0" fontId="8" fillId="0" borderId="0" xfId="0" applyFont="1" applyFill="1" applyAlignment="1">
      <alignment horizontal="center" vertical="center" wrapText="1"/>
    </xf>
    <xf numFmtId="4" fontId="8" fillId="0" borderId="0" xfId="0" applyNumberFormat="1" applyFont="1" applyFill="1" applyAlignment="1">
      <alignment horizontal="right" vertical="center" wrapText="1"/>
    </xf>
    <xf numFmtId="3" fontId="36" fillId="0" borderId="0" xfId="0" applyNumberFormat="1" applyFont="1" applyFill="1" applyAlignment="1">
      <alignment vertical="center" wrapText="1"/>
    </xf>
    <xf numFmtId="4" fontId="14" fillId="0" borderId="0" xfId="0" applyNumberFormat="1" applyFont="1" applyFill="1" applyAlignment="1">
      <alignment vertical="center"/>
    </xf>
    <xf numFmtId="3" fontId="14" fillId="0" borderId="0" xfId="0" applyNumberFormat="1" applyFont="1" applyFill="1" applyAlignment="1">
      <alignment vertical="center"/>
    </xf>
    <xf numFmtId="4" fontId="8" fillId="0" borderId="0" xfId="0" applyNumberFormat="1" applyFont="1" applyFill="1" applyAlignment="1">
      <alignment horizontal="center" vertical="center" wrapText="1"/>
    </xf>
    <xf numFmtId="4" fontId="8" fillId="0" borderId="0" xfId="0" applyNumberFormat="1" applyFont="1" applyFill="1" applyAlignment="1">
      <alignment vertical="center"/>
    </xf>
    <xf numFmtId="4" fontId="28" fillId="0" borderId="0" xfId="0" applyNumberFormat="1" applyFont="1" applyFill="1" applyAlignment="1">
      <alignment vertical="center"/>
    </xf>
    <xf numFmtId="3" fontId="28" fillId="0" borderId="0" xfId="0" applyNumberFormat="1" applyFont="1" applyFill="1" applyAlignment="1">
      <alignment vertical="center"/>
    </xf>
    <xf numFmtId="4" fontId="0" fillId="0" borderId="0" xfId="0" applyNumberFormat="1" applyFont="1" applyFill="1" applyAlignment="1">
      <alignment vertical="center"/>
    </xf>
    <xf numFmtId="3" fontId="0" fillId="0" borderId="0" xfId="0" applyNumberFormat="1" applyFont="1" applyFill="1" applyAlignment="1">
      <alignment vertical="center"/>
    </xf>
    <xf numFmtId="14"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14" fontId="11" fillId="6" borderId="30" xfId="0" applyNumberFormat="1" applyFont="1" applyFill="1" applyBorder="1" applyAlignment="1">
      <alignment horizontal="center" vertical="center" wrapText="1"/>
    </xf>
    <xf numFmtId="14" fontId="11" fillId="6" borderId="41" xfId="0" applyNumberFormat="1" applyFont="1" applyFill="1" applyBorder="1" applyAlignment="1">
      <alignment horizontal="center" vertical="center" wrapText="1"/>
    </xf>
    <xf numFmtId="14" fontId="11" fillId="6" borderId="0"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0" fontId="4" fillId="6" borderId="0" xfId="0" applyFont="1" applyFill="1" applyBorder="1" applyAlignment="1">
      <alignment vertical="center"/>
    </xf>
    <xf numFmtId="14" fontId="11" fillId="6" borderId="8" xfId="0" applyNumberFormat="1" applyFont="1" applyFill="1" applyBorder="1" applyAlignment="1">
      <alignment horizontal="center" vertical="center" wrapText="1"/>
    </xf>
    <xf numFmtId="14" fontId="11" fillId="6" borderId="8" xfId="0" applyNumberFormat="1" applyFont="1" applyFill="1" applyBorder="1" applyAlignment="1">
      <alignment horizontal="left" vertical="center" wrapText="1"/>
    </xf>
    <xf numFmtId="14" fontId="4" fillId="6" borderId="6" xfId="0" applyNumberFormat="1" applyFont="1" applyFill="1" applyBorder="1" applyAlignment="1">
      <alignment horizontal="center" vertical="center" wrapText="1"/>
    </xf>
    <xf numFmtId="3" fontId="31" fillId="0" borderId="9" xfId="0" applyNumberFormat="1" applyFont="1" applyBorder="1" applyAlignment="1">
      <alignment vertical="center"/>
    </xf>
    <xf numFmtId="3" fontId="4" fillId="0" borderId="11" xfId="0" applyNumberFormat="1" applyFont="1" applyBorder="1" applyAlignment="1">
      <alignment horizontal="left" vertical="center"/>
    </xf>
    <xf numFmtId="3" fontId="31" fillId="0" borderId="43" xfId="0" applyNumberFormat="1" applyFont="1" applyBorder="1" applyAlignment="1">
      <alignment vertical="center"/>
    </xf>
    <xf numFmtId="3" fontId="31" fillId="0" borderId="44" xfId="0" applyNumberFormat="1" applyFont="1" applyBorder="1" applyAlignment="1">
      <alignment vertical="center"/>
    </xf>
    <xf numFmtId="4" fontId="4" fillId="0" borderId="0" xfId="0" applyNumberFormat="1" applyFont="1" applyBorder="1" applyAlignment="1">
      <alignment vertical="center" wrapText="1"/>
    </xf>
    <xf numFmtId="4" fontId="4" fillId="0" borderId="45" xfId="0" applyNumberFormat="1" applyFont="1" applyBorder="1" applyAlignment="1">
      <alignment vertical="center" wrapText="1"/>
    </xf>
    <xf numFmtId="4" fontId="4" fillId="0" borderId="44" xfId="0" applyNumberFormat="1" applyFont="1" applyBorder="1" applyAlignment="1">
      <alignment vertical="center" wrapText="1"/>
    </xf>
    <xf numFmtId="3" fontId="4" fillId="0" borderId="46" xfId="0" applyNumberFormat="1" applyFont="1" applyBorder="1" applyAlignment="1">
      <alignment horizontal="left" vertical="center"/>
    </xf>
    <xf numFmtId="4" fontId="30" fillId="4" borderId="1" xfId="0" applyNumberFormat="1" applyFont="1" applyFill="1" applyBorder="1" applyAlignment="1">
      <alignment horizontal="right" vertical="center"/>
    </xf>
    <xf numFmtId="3" fontId="30" fillId="0" borderId="3" xfId="0" applyNumberFormat="1" applyFont="1" applyBorder="1" applyAlignment="1">
      <alignment horizontal="center" vertical="center"/>
    </xf>
    <xf numFmtId="4" fontId="30" fillId="0" borderId="30" xfId="0" applyNumberFormat="1" applyFont="1" applyBorder="1" applyAlignment="1">
      <alignment vertical="center" wrapText="1"/>
    </xf>
    <xf numFmtId="4" fontId="4" fillId="0" borderId="6" xfId="0" applyNumberFormat="1" applyFont="1" applyBorder="1" applyAlignment="1">
      <alignment vertical="center" wrapText="1"/>
    </xf>
    <xf numFmtId="3" fontId="30" fillId="0" borderId="41" xfId="0" applyNumberFormat="1" applyFont="1" applyBorder="1" applyAlignment="1">
      <alignment vertical="center"/>
    </xf>
    <xf numFmtId="3" fontId="6" fillId="0" borderId="9" xfId="0" applyNumberFormat="1" applyFont="1" applyBorder="1" applyAlignment="1">
      <alignment vertical="center"/>
    </xf>
    <xf numFmtId="3" fontId="30" fillId="0" borderId="11" xfId="0" applyNumberFormat="1" applyFont="1" applyBorder="1" applyAlignment="1">
      <alignment vertical="center"/>
    </xf>
    <xf numFmtId="0" fontId="0" fillId="0" borderId="9" xfId="0"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3" fontId="31" fillId="0" borderId="39" xfId="0" applyNumberFormat="1" applyFont="1" applyBorder="1" applyAlignment="1">
      <alignment vertical="center"/>
    </xf>
    <xf numFmtId="3" fontId="6" fillId="0" borderId="21" xfId="0" applyNumberFormat="1" applyFont="1" applyBorder="1" applyAlignment="1">
      <alignment vertical="center"/>
    </xf>
    <xf numFmtId="4" fontId="4" fillId="0" borderId="24" xfId="0" applyNumberFormat="1" applyFont="1" applyBorder="1" applyAlignment="1">
      <alignment vertical="center" wrapText="1"/>
    </xf>
    <xf numFmtId="0" fontId="0" fillId="0" borderId="47" xfId="0" applyBorder="1" applyAlignment="1">
      <alignment horizontal="left" vertical="center" wrapText="1" shrinkToFit="1"/>
    </xf>
    <xf numFmtId="0" fontId="0" fillId="0" borderId="1" xfId="0" applyBorder="1" applyAlignment="1">
      <alignment horizontal="left" vertical="center" wrapText="1" shrinkToFit="1"/>
    </xf>
    <xf numFmtId="3" fontId="31" fillId="0" borderId="0" xfId="0" applyNumberFormat="1" applyFont="1" applyBorder="1" applyAlignment="1">
      <alignment vertical="center"/>
    </xf>
    <xf numFmtId="0" fontId="0" fillId="0" borderId="0" xfId="0" applyBorder="1" applyAlignment="1">
      <alignment vertical="top" shrinkToFit="1"/>
    </xf>
    <xf numFmtId="3" fontId="37" fillId="0" borderId="0" xfId="0" applyNumberFormat="1" applyFont="1" applyBorder="1" applyAlignment="1">
      <alignment vertical="center"/>
    </xf>
    <xf numFmtId="3" fontId="4" fillId="0" borderId="0" xfId="0" applyNumberFormat="1" applyFont="1" applyBorder="1" applyAlignment="1">
      <alignment vertical="center"/>
    </xf>
    <xf numFmtId="0" fontId="4" fillId="0" borderId="0" xfId="0" applyFont="1" applyBorder="1" applyAlignment="1">
      <alignment vertical="center"/>
    </xf>
    <xf numFmtId="3" fontId="8" fillId="0" borderId="12" xfId="21" applyNumberFormat="1" applyFont="1" applyFill="1" applyBorder="1" applyAlignment="1">
      <alignment horizontal="center" vertical="center" wrapText="1"/>
      <protection/>
    </xf>
    <xf numFmtId="3" fontId="8" fillId="0" borderId="2" xfId="21" applyNumberFormat="1" applyFont="1" applyFill="1" applyBorder="1" applyAlignment="1">
      <alignment horizontal="center" vertical="center" wrapText="1"/>
      <protection/>
    </xf>
    <xf numFmtId="14" fontId="38" fillId="0" borderId="2" xfId="21" applyNumberFormat="1" applyFont="1" applyFill="1" applyBorder="1" applyAlignment="1">
      <alignment horizontal="center" vertical="center" wrapText="1"/>
      <protection/>
    </xf>
    <xf numFmtId="14" fontId="38" fillId="0" borderId="15" xfId="21" applyNumberFormat="1" applyFont="1" applyFill="1" applyBorder="1" applyAlignment="1">
      <alignment horizontal="center" vertical="center" wrapText="1"/>
      <protection/>
    </xf>
    <xf numFmtId="0" fontId="8" fillId="0" borderId="0" xfId="21" applyFont="1" applyFill="1" applyBorder="1" applyAlignment="1">
      <alignment vertical="center"/>
      <protection/>
    </xf>
    <xf numFmtId="3" fontId="8" fillId="0" borderId="0" xfId="21" applyNumberFormat="1" applyFont="1" applyFill="1" applyBorder="1" applyAlignment="1">
      <alignment horizontal="left" vertical="center"/>
      <protection/>
    </xf>
    <xf numFmtId="0" fontId="8" fillId="0" borderId="0" xfId="21" applyFont="1" applyBorder="1" applyAlignment="1">
      <alignment horizontal="left" vertical="center"/>
      <protection/>
    </xf>
    <xf numFmtId="3" fontId="8" fillId="0" borderId="0" xfId="21" applyNumberFormat="1" applyFont="1" applyFill="1" applyBorder="1" applyAlignment="1">
      <alignment vertical="center" wrapText="1"/>
      <protection/>
    </xf>
    <xf numFmtId="4" fontId="8" fillId="0" borderId="0" xfId="21" applyNumberFormat="1" applyFont="1" applyFill="1" applyBorder="1" applyAlignment="1">
      <alignment vertical="center" wrapText="1"/>
      <protection/>
    </xf>
    <xf numFmtId="0" fontId="8" fillId="0" borderId="48" xfId="21" applyFont="1" applyFill="1" applyBorder="1" applyAlignment="1">
      <alignment vertical="center" wrapText="1"/>
      <protection/>
    </xf>
    <xf numFmtId="0" fontId="8" fillId="0" borderId="49" xfId="21" applyFont="1" applyFill="1" applyBorder="1" applyAlignment="1">
      <alignment vertical="center" wrapText="1"/>
      <protection/>
    </xf>
    <xf numFmtId="3" fontId="8" fillId="0" borderId="0" xfId="21" applyNumberFormat="1" applyFont="1" applyFill="1" applyBorder="1" applyAlignment="1">
      <alignment vertical="center"/>
      <protection/>
    </xf>
    <xf numFmtId="3" fontId="8" fillId="0" borderId="49" xfId="21" applyNumberFormat="1" applyFont="1" applyFill="1" applyBorder="1" applyAlignment="1">
      <alignment horizontal="left" vertical="center"/>
      <protection/>
    </xf>
    <xf numFmtId="3" fontId="8" fillId="0" borderId="0" xfId="21" applyNumberFormat="1" applyFont="1" applyFill="1" applyBorder="1" applyAlignment="1">
      <alignment horizontal="center" vertical="center" wrapText="1"/>
      <protection/>
    </xf>
    <xf numFmtId="0" fontId="8" fillId="0" borderId="0" xfId="21" applyFont="1" applyFill="1" applyBorder="1" applyAlignment="1">
      <alignment vertical="center" wrapText="1"/>
      <protection/>
    </xf>
    <xf numFmtId="3" fontId="8" fillId="0" borderId="49" xfId="21" applyNumberFormat="1" applyFont="1" applyFill="1" applyBorder="1" applyAlignment="1">
      <alignment horizontal="center" vertical="center" wrapText="1"/>
      <protection/>
    </xf>
    <xf numFmtId="0" fontId="8" fillId="0" borderId="0" xfId="21" applyFont="1" applyFill="1" applyAlignment="1">
      <alignment vertical="center"/>
      <protection/>
    </xf>
    <xf numFmtId="4" fontId="12" fillId="0" borderId="0" xfId="21" applyNumberFormat="1" applyFont="1" applyFill="1" applyBorder="1" applyAlignment="1">
      <alignment vertical="center" wrapText="1"/>
      <protection/>
    </xf>
    <xf numFmtId="0" fontId="9" fillId="0" borderId="0" xfId="21" applyFont="1" applyFill="1" applyAlignment="1">
      <alignment vertical="center"/>
      <protection/>
    </xf>
    <xf numFmtId="3" fontId="9" fillId="0" borderId="0" xfId="21" applyNumberFormat="1" applyFont="1" applyFill="1" applyBorder="1" applyAlignment="1">
      <alignment vertical="center"/>
      <protection/>
    </xf>
    <xf numFmtId="4" fontId="9" fillId="0" borderId="0" xfId="21" applyNumberFormat="1" applyFont="1" applyFill="1" applyBorder="1" applyAlignment="1">
      <alignment vertical="center" wrapText="1"/>
      <protection/>
    </xf>
    <xf numFmtId="0" fontId="9" fillId="0" borderId="49" xfId="21" applyFont="1" applyFill="1" applyBorder="1" applyAlignment="1">
      <alignment vertical="center" wrapText="1"/>
      <protection/>
    </xf>
    <xf numFmtId="0" fontId="9" fillId="0" borderId="0" xfId="21" applyFont="1" applyFill="1" applyBorder="1" applyAlignment="1">
      <alignment vertical="center"/>
      <protection/>
    </xf>
    <xf numFmtId="0" fontId="8" fillId="0" borderId="49" xfId="21" applyFont="1" applyFill="1" applyBorder="1" applyAlignment="1">
      <alignment vertical="center"/>
      <protection/>
    </xf>
    <xf numFmtId="0" fontId="8" fillId="0" borderId="49" xfId="21" applyFont="1" applyFill="1" applyBorder="1" applyAlignment="1">
      <alignment horizontal="left" vertical="center"/>
      <protection/>
    </xf>
    <xf numFmtId="0" fontId="8" fillId="0" borderId="49" xfId="21" applyFont="1" applyFill="1" applyBorder="1" applyAlignment="1">
      <alignment horizontal="left" vertical="center" wrapText="1" shrinkToFit="1"/>
      <protection/>
    </xf>
    <xf numFmtId="0" fontId="9" fillId="0" borderId="49" xfId="21" applyFont="1" applyFill="1" applyBorder="1" applyAlignment="1">
      <alignment horizontal="left" vertical="center" wrapText="1" shrinkToFit="1"/>
      <protection/>
    </xf>
    <xf numFmtId="0" fontId="8" fillId="0" borderId="50" xfId="21" applyFont="1" applyFill="1" applyBorder="1" applyAlignment="1">
      <alignment horizontal="left" vertical="center" wrapText="1" shrinkToFit="1"/>
      <protection/>
    </xf>
    <xf numFmtId="3" fontId="39" fillId="0" borderId="1" xfId="21" applyNumberFormat="1" applyFont="1" applyFill="1" applyBorder="1" applyAlignment="1">
      <alignment vertical="center"/>
      <protection/>
    </xf>
    <xf numFmtId="4" fontId="39" fillId="0" borderId="1" xfId="21" applyNumberFormat="1" applyFont="1" applyFill="1" applyBorder="1" applyAlignment="1">
      <alignment vertical="center" wrapText="1"/>
      <protection/>
    </xf>
    <xf numFmtId="3" fontId="2" fillId="0" borderId="0" xfId="21" applyNumberFormat="1" applyFill="1" applyBorder="1" applyAlignment="1">
      <alignment vertical="center"/>
      <protection/>
    </xf>
    <xf numFmtId="4" fontId="4" fillId="0" borderId="0" xfId="21" applyNumberFormat="1" applyFont="1" applyFill="1" applyBorder="1" applyAlignment="1">
      <alignment vertical="center"/>
      <protection/>
    </xf>
    <xf numFmtId="3" fontId="4" fillId="0" borderId="0" xfId="21" applyNumberFormat="1" applyFont="1" applyFill="1" applyBorder="1" applyAlignment="1">
      <alignment vertical="center"/>
      <protection/>
    </xf>
    <xf numFmtId="0" fontId="2" fillId="0" borderId="0" xfId="21" applyFill="1" applyBorder="1" applyAlignment="1">
      <alignment vertical="center"/>
      <protection/>
    </xf>
    <xf numFmtId="3" fontId="2" fillId="0" borderId="0" xfId="21" applyNumberFormat="1" applyFont="1" applyFill="1" applyBorder="1" applyAlignment="1">
      <alignment vertical="center"/>
      <protection/>
    </xf>
    <xf numFmtId="4" fontId="2" fillId="0" borderId="0" xfId="21" applyNumberFormat="1" applyFill="1" applyBorder="1" applyAlignment="1">
      <alignment vertical="center"/>
      <protection/>
    </xf>
    <xf numFmtId="3" fontId="4" fillId="0" borderId="0" xfId="21" applyNumberFormat="1" applyFont="1" applyFill="1" applyBorder="1" applyAlignment="1">
      <alignment vertical="center"/>
      <protection/>
    </xf>
    <xf numFmtId="4" fontId="4" fillId="0" borderId="0" xfId="21" applyNumberFormat="1" applyFont="1" applyFill="1" applyBorder="1" applyAlignment="1">
      <alignment vertical="center"/>
      <protection/>
    </xf>
    <xf numFmtId="0" fontId="5" fillId="0" borderId="0" xfId="0" applyFont="1" applyFill="1" applyAlignment="1">
      <alignment horizontal="center" vertical="center" wrapText="1"/>
    </xf>
    <xf numFmtId="0" fontId="15" fillId="0" borderId="43" xfId="0" applyFont="1" applyFill="1" applyBorder="1" applyAlignment="1">
      <alignment horizontal="center" vertical="center"/>
    </xf>
    <xf numFmtId="3" fontId="15" fillId="0" borderId="0" xfId="0" applyNumberFormat="1" applyFont="1" applyFill="1" applyBorder="1" applyAlignment="1">
      <alignment vertical="center"/>
    </xf>
    <xf numFmtId="4" fontId="15" fillId="0" borderId="0" xfId="0" applyNumberFormat="1" applyFont="1" applyFill="1" applyBorder="1" applyAlignment="1">
      <alignment vertical="center"/>
    </xf>
    <xf numFmtId="0" fontId="15" fillId="0" borderId="51" xfId="0" applyFont="1" applyFill="1" applyBorder="1" applyAlignment="1">
      <alignment vertical="center"/>
    </xf>
    <xf numFmtId="0" fontId="15" fillId="0" borderId="51" xfId="0" applyFont="1" applyFill="1" applyBorder="1" applyAlignment="1">
      <alignment vertical="center" wrapText="1"/>
    </xf>
    <xf numFmtId="0" fontId="16" fillId="0" borderId="51" xfId="0" applyFont="1" applyFill="1" applyBorder="1" applyAlignment="1">
      <alignment vertical="center"/>
    </xf>
    <xf numFmtId="0" fontId="16" fillId="3" borderId="1" xfId="0" applyFont="1" applyFill="1" applyBorder="1" applyAlignment="1">
      <alignment vertical="center"/>
    </xf>
    <xf numFmtId="3" fontId="16" fillId="3" borderId="17" xfId="0" applyNumberFormat="1" applyFont="1" applyFill="1" applyBorder="1" applyAlignment="1">
      <alignment vertical="center"/>
    </xf>
    <xf numFmtId="4" fontId="16" fillId="3" borderId="1" xfId="0" applyNumberFormat="1" applyFont="1" applyFill="1" applyBorder="1" applyAlignment="1">
      <alignment vertical="center"/>
    </xf>
    <xf numFmtId="0" fontId="41" fillId="0" borderId="51" xfId="0" applyFont="1" applyFill="1" applyBorder="1" applyAlignment="1">
      <alignment vertical="center"/>
    </xf>
    <xf numFmtId="0" fontId="16" fillId="0" borderId="51" xfId="0" applyFont="1" applyFill="1" applyBorder="1" applyAlignment="1">
      <alignment vertical="center" wrapText="1"/>
    </xf>
    <xf numFmtId="0" fontId="15" fillId="0" borderId="51" xfId="0" applyNumberFormat="1" applyFont="1" applyFill="1" applyBorder="1" applyAlignment="1">
      <alignment vertical="center"/>
    </xf>
    <xf numFmtId="0" fontId="5" fillId="0" borderId="0" xfId="0" applyFont="1" applyFill="1" applyBorder="1" applyAlignment="1">
      <alignment vertical="center"/>
    </xf>
    <xf numFmtId="0" fontId="16" fillId="0" borderId="51" xfId="0" applyNumberFormat="1" applyFont="1" applyFill="1" applyBorder="1" applyAlignment="1">
      <alignment vertical="center"/>
    </xf>
    <xf numFmtId="3" fontId="16" fillId="3" borderId="52" xfId="0" applyNumberFormat="1" applyFont="1" applyFill="1" applyBorder="1" applyAlignment="1">
      <alignment vertical="center"/>
    </xf>
    <xf numFmtId="0" fontId="16" fillId="4" borderId="1" xfId="0" applyFont="1" applyFill="1" applyBorder="1" applyAlignment="1">
      <alignment vertical="center"/>
    </xf>
    <xf numFmtId="3" fontId="16" fillId="4" borderId="18" xfId="0" applyNumberFormat="1" applyFont="1" applyFill="1" applyBorder="1" applyAlignment="1">
      <alignment vertical="center"/>
    </xf>
    <xf numFmtId="4" fontId="16" fillId="4" borderId="1" xfId="0" applyNumberFormat="1" applyFont="1" applyFill="1" applyBorder="1" applyAlignment="1">
      <alignment vertical="center"/>
    </xf>
    <xf numFmtId="0" fontId="42" fillId="0" borderId="51" xfId="0" applyFont="1" applyFill="1" applyBorder="1" applyAlignment="1">
      <alignment vertical="center"/>
    </xf>
    <xf numFmtId="3" fontId="16" fillId="0" borderId="51" xfId="0" applyNumberFormat="1" applyFont="1" applyFill="1" applyBorder="1" applyAlignment="1">
      <alignment vertical="center" wrapText="1"/>
    </xf>
    <xf numFmtId="0" fontId="43" fillId="0" borderId="51" xfId="0" applyFont="1" applyFill="1" applyBorder="1" applyAlignment="1">
      <alignment vertical="center"/>
    </xf>
    <xf numFmtId="0" fontId="5" fillId="0" borderId="0" xfId="0" applyFont="1" applyFill="1" applyAlignment="1">
      <alignment vertical="top"/>
    </xf>
    <xf numFmtId="3" fontId="16" fillId="4" borderId="17" xfId="0" applyNumberFormat="1" applyFont="1" applyFill="1" applyBorder="1" applyAlignment="1">
      <alignment vertical="center"/>
    </xf>
    <xf numFmtId="3" fontId="16" fillId="0" borderId="0" xfId="0" applyNumberFormat="1" applyFont="1" applyFill="1" applyBorder="1" applyAlignment="1">
      <alignment vertical="center"/>
    </xf>
    <xf numFmtId="0" fontId="15" fillId="0" borderId="51" xfId="0" applyFont="1" applyFill="1" applyBorder="1" applyAlignment="1">
      <alignment horizontal="left" vertical="center"/>
    </xf>
    <xf numFmtId="0" fontId="16" fillId="0" borderId="51" xfId="0" applyFont="1" applyFill="1" applyBorder="1" applyAlignment="1">
      <alignment horizontal="left" vertical="center"/>
    </xf>
    <xf numFmtId="3" fontId="16" fillId="4" borderId="52" xfId="0" applyNumberFormat="1" applyFont="1" applyFill="1" applyBorder="1" applyAlignment="1">
      <alignment vertical="center"/>
    </xf>
    <xf numFmtId="0" fontId="15" fillId="0" borderId="53" xfId="0" applyFont="1" applyFill="1" applyBorder="1" applyAlignment="1">
      <alignment horizontal="center" vertical="center"/>
    </xf>
    <xf numFmtId="0" fontId="17" fillId="7" borderId="1" xfId="0" applyFont="1" applyFill="1" applyBorder="1" applyAlignment="1">
      <alignment vertical="center"/>
    </xf>
    <xf numFmtId="3" fontId="18" fillId="7" borderId="1" xfId="0" applyNumberFormat="1" applyFont="1" applyFill="1" applyBorder="1" applyAlignment="1">
      <alignment vertical="center"/>
    </xf>
    <xf numFmtId="4" fontId="18" fillId="7" borderId="26" xfId="0" applyNumberFormat="1" applyFont="1" applyFill="1" applyBorder="1" applyAlignment="1">
      <alignment vertical="center"/>
    </xf>
    <xf numFmtId="4" fontId="16" fillId="7" borderId="1" xfId="0" applyNumberFormat="1" applyFont="1" applyFill="1" applyBorder="1" applyAlignment="1">
      <alignment vertical="center"/>
    </xf>
    <xf numFmtId="0" fontId="15" fillId="0" borderId="46" xfId="0" applyFont="1" applyFill="1" applyBorder="1" applyAlignment="1">
      <alignment vertical="center"/>
    </xf>
    <xf numFmtId="0" fontId="15" fillId="0" borderId="0" xfId="0" applyFont="1" applyFill="1" applyBorder="1" applyAlignment="1">
      <alignment horizontal="center" vertical="center"/>
    </xf>
    <xf numFmtId="0" fontId="17" fillId="0" borderId="0" xfId="0" applyFont="1" applyFill="1" applyBorder="1" applyAlignment="1">
      <alignment vertical="center"/>
    </xf>
    <xf numFmtId="4" fontId="18"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25" fillId="0" borderId="0" xfId="0" applyFont="1" applyAlignment="1">
      <alignment horizontal="right"/>
    </xf>
    <xf numFmtId="0" fontId="36" fillId="0" borderId="0" xfId="0" applyFont="1" applyAlignment="1">
      <alignment horizontal="center"/>
    </xf>
    <xf numFmtId="0" fontId="44" fillId="0" borderId="0" xfId="0" applyFont="1" applyAlignment="1">
      <alignment horizontal="center"/>
    </xf>
    <xf numFmtId="0" fontId="14" fillId="0" borderId="0" xfId="0" applyFont="1" applyAlignment="1">
      <alignment/>
    </xf>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Fill="1" applyBorder="1" applyAlignment="1">
      <alignment horizontal="center" vertical="center" wrapText="1"/>
    </xf>
    <xf numFmtId="0" fontId="0" fillId="0" borderId="52" xfId="0" applyBorder="1" applyAlignment="1">
      <alignment horizontal="center" vertical="center"/>
    </xf>
    <xf numFmtId="4" fontId="0" fillId="0" borderId="52" xfId="0" applyNumberFormat="1" applyBorder="1" applyAlignment="1">
      <alignment horizontal="center" vertical="center"/>
    </xf>
    <xf numFmtId="0" fontId="33" fillId="0" borderId="0" xfId="0" applyFont="1" applyAlignment="1">
      <alignment/>
    </xf>
    <xf numFmtId="0" fontId="33" fillId="0" borderId="0" xfId="0" applyFont="1" applyFill="1" applyAlignment="1">
      <alignment/>
    </xf>
    <xf numFmtId="0" fontId="0" fillId="0" borderId="0" xfId="0" applyFont="1" applyAlignment="1">
      <alignment/>
    </xf>
    <xf numFmtId="0" fontId="14" fillId="0" borderId="1" xfId="0" applyFont="1" applyBorder="1" applyAlignment="1">
      <alignment horizontal="center" vertical="center" wrapText="1"/>
    </xf>
    <xf numFmtId="0" fontId="14" fillId="0" borderId="29" xfId="0" applyFont="1" applyBorder="1" applyAlignment="1">
      <alignment horizontal="center" vertical="center" wrapText="1"/>
    </xf>
    <xf numFmtId="0" fontId="10" fillId="0" borderId="0" xfId="23" applyFont="1" applyAlignment="1">
      <alignment/>
      <protection/>
    </xf>
    <xf numFmtId="0" fontId="7" fillId="0" borderId="0" xfId="23" applyFont="1" applyFill="1">
      <alignment/>
      <protection/>
    </xf>
    <xf numFmtId="0" fontId="10" fillId="0" borderId="0" xfId="23" applyFont="1" applyAlignment="1">
      <alignment horizontal="right"/>
      <protection/>
    </xf>
    <xf numFmtId="0" fontId="2" fillId="0" borderId="0" xfId="23" applyFont="1">
      <alignment/>
      <protection/>
    </xf>
    <xf numFmtId="0" fontId="45" fillId="0" borderId="0" xfId="23" applyFont="1">
      <alignment/>
      <protection/>
    </xf>
    <xf numFmtId="3" fontId="0" fillId="0" borderId="52" xfId="0" applyNumberFormat="1" applyBorder="1" applyAlignment="1">
      <alignment horizontal="center" vertical="center"/>
    </xf>
    <xf numFmtId="0" fontId="33" fillId="0" borderId="0" xfId="0" applyFont="1" applyFill="1" applyBorder="1" applyAlignment="1" quotePrefix="1">
      <alignment horizontal="left"/>
    </xf>
    <xf numFmtId="0" fontId="25" fillId="0" borderId="0" xfId="0" applyFont="1" applyAlignment="1">
      <alignment horizontal="right"/>
    </xf>
    <xf numFmtId="0" fontId="25" fillId="0" borderId="0" xfId="0" applyFont="1" applyAlignment="1">
      <alignment/>
    </xf>
    <xf numFmtId="0" fontId="28" fillId="0" borderId="0" xfId="0" applyFont="1" applyAlignment="1">
      <alignment/>
    </xf>
    <xf numFmtId="0" fontId="28" fillId="7" borderId="1" xfId="0" applyFont="1" applyFill="1" applyBorder="1" applyAlignment="1">
      <alignment horizontal="center"/>
    </xf>
    <xf numFmtId="0" fontId="0" fillId="7" borderId="16" xfId="0" applyFont="1" applyFill="1" applyBorder="1" applyAlignment="1">
      <alignment horizontal="center"/>
    </xf>
    <xf numFmtId="0" fontId="25" fillId="0" borderId="54" xfId="0" applyFont="1" applyBorder="1" applyAlignment="1">
      <alignment/>
    </xf>
    <xf numFmtId="4" fontId="25" fillId="0" borderId="55" xfId="0" applyNumberFormat="1" applyFont="1" applyBorder="1" applyAlignment="1">
      <alignment/>
    </xf>
    <xf numFmtId="0" fontId="25" fillId="0" borderId="56" xfId="0" applyFont="1" applyBorder="1" applyAlignment="1">
      <alignment/>
    </xf>
    <xf numFmtId="4" fontId="25" fillId="0" borderId="57" xfId="0" applyNumberFormat="1" applyFont="1" applyBorder="1" applyAlignment="1">
      <alignment/>
    </xf>
    <xf numFmtId="0" fontId="25" fillId="0" borderId="56" xfId="0" applyFont="1" applyBorder="1" applyAlignment="1">
      <alignment wrapText="1"/>
    </xf>
    <xf numFmtId="0" fontId="28" fillId="0" borderId="56" xfId="0" applyFont="1" applyBorder="1" applyAlignment="1">
      <alignment/>
    </xf>
    <xf numFmtId="4" fontId="28" fillId="0" borderId="57" xfId="0" applyNumberFormat="1" applyFont="1" applyBorder="1" applyAlignment="1">
      <alignment/>
    </xf>
    <xf numFmtId="0" fontId="28" fillId="7" borderId="56" xfId="0" applyFont="1" applyFill="1" applyBorder="1" applyAlignment="1">
      <alignment/>
    </xf>
    <xf numFmtId="4" fontId="28" fillId="7" borderId="57" xfId="0" applyNumberFormat="1" applyFont="1" applyFill="1" applyBorder="1" applyAlignment="1">
      <alignment/>
    </xf>
    <xf numFmtId="0" fontId="28" fillId="7" borderId="58" xfId="0" applyFont="1" applyFill="1" applyBorder="1" applyAlignment="1">
      <alignment/>
    </xf>
    <xf numFmtId="4" fontId="28" fillId="7" borderId="59" xfId="0" applyNumberFormat="1" applyFont="1" applyFill="1" applyBorder="1" applyAlignment="1">
      <alignment/>
    </xf>
    <xf numFmtId="0" fontId="28" fillId="7" borderId="60" xfId="0" applyFont="1" applyFill="1" applyBorder="1" applyAlignment="1">
      <alignment/>
    </xf>
    <xf numFmtId="0" fontId="2" fillId="0" borderId="0" xfId="24" applyFont="1" applyAlignment="1">
      <alignment horizontal="center"/>
      <protection/>
    </xf>
    <xf numFmtId="4" fontId="28" fillId="7" borderId="61" xfId="0" applyNumberFormat="1" applyFont="1" applyFill="1" applyBorder="1" applyAlignment="1">
      <alignment/>
    </xf>
    <xf numFmtId="0" fontId="2" fillId="0" borderId="0" xfId="23" applyFont="1" applyFill="1">
      <alignment/>
      <protection/>
    </xf>
    <xf numFmtId="0" fontId="10" fillId="0" borderId="0" xfId="23" applyFont="1">
      <alignment/>
      <protection/>
    </xf>
    <xf numFmtId="0" fontId="2" fillId="0" borderId="0" xfId="23" applyFont="1">
      <alignment/>
      <protection/>
    </xf>
    <xf numFmtId="0" fontId="2" fillId="0" borderId="0" xfId="23" applyFont="1" applyAlignment="1">
      <alignment horizontal="center"/>
      <protection/>
    </xf>
    <xf numFmtId="0" fontId="2" fillId="0" borderId="0" xfId="23" applyFont="1" applyAlignment="1">
      <alignment horizontal="right"/>
      <protection/>
    </xf>
    <xf numFmtId="0" fontId="4" fillId="0" borderId="1" xfId="23" applyFont="1" applyBorder="1" applyAlignment="1">
      <alignment horizontal="center" vertical="top" wrapText="1"/>
      <protection/>
    </xf>
    <xf numFmtId="0" fontId="4" fillId="0" borderId="16" xfId="23" applyFont="1" applyBorder="1" applyAlignment="1">
      <alignment horizontal="center" vertical="top" wrapText="1"/>
      <protection/>
    </xf>
    <xf numFmtId="0" fontId="2" fillId="0" borderId="1" xfId="23" applyFont="1" applyBorder="1" applyAlignment="1">
      <alignment horizontal="center" vertical="top"/>
      <protection/>
    </xf>
    <xf numFmtId="0" fontId="2" fillId="0" borderId="1" xfId="23" applyFont="1" applyBorder="1" applyAlignment="1">
      <alignment horizontal="center" vertical="top" wrapText="1"/>
      <protection/>
    </xf>
    <xf numFmtId="0" fontId="2" fillId="0" borderId="1" xfId="23" applyFont="1" applyFill="1" applyBorder="1" applyAlignment="1">
      <alignment horizontal="center" vertical="top" wrapText="1"/>
      <protection/>
    </xf>
    <xf numFmtId="0" fontId="2" fillId="0" borderId="0" xfId="23" applyFont="1" applyAlignment="1">
      <alignment vertical="top"/>
      <protection/>
    </xf>
    <xf numFmtId="0" fontId="2" fillId="0" borderId="1" xfId="23" applyFont="1" applyBorder="1" applyAlignment="1">
      <alignment horizontal="center"/>
      <protection/>
    </xf>
    <xf numFmtId="0" fontId="2" fillId="0" borderId="16" xfId="23" applyFont="1" applyBorder="1" applyAlignment="1">
      <alignment horizontal="center"/>
      <protection/>
    </xf>
    <xf numFmtId="0" fontId="31" fillId="0" borderId="1" xfId="23" applyFont="1" applyBorder="1" applyAlignment="1">
      <alignment horizontal="center"/>
      <protection/>
    </xf>
    <xf numFmtId="0" fontId="31" fillId="0" borderId="1" xfId="23" applyFont="1" applyFill="1" applyBorder="1" applyAlignment="1">
      <alignment horizontal="center"/>
      <protection/>
    </xf>
    <xf numFmtId="0" fontId="48" fillId="0" borderId="1" xfId="23" applyFont="1" applyBorder="1" applyAlignment="1">
      <alignment horizontal="center"/>
      <protection/>
    </xf>
    <xf numFmtId="0" fontId="31" fillId="0" borderId="16" xfId="23" applyFont="1" applyBorder="1" applyAlignment="1">
      <alignment horizontal="center"/>
      <protection/>
    </xf>
    <xf numFmtId="0" fontId="2" fillId="0" borderId="1" xfId="23" applyFont="1" applyFill="1" applyBorder="1" applyAlignment="1">
      <alignment vertical="center"/>
      <protection/>
    </xf>
    <xf numFmtId="4" fontId="2" fillId="0" borderId="1" xfId="23" applyNumberFormat="1" applyFont="1" applyBorder="1">
      <alignment/>
      <protection/>
    </xf>
    <xf numFmtId="0" fontId="48" fillId="0" borderId="17" xfId="23" applyFont="1" applyBorder="1" applyAlignment="1">
      <alignment horizontal="center"/>
      <protection/>
    </xf>
    <xf numFmtId="0" fontId="31" fillId="0" borderId="51" xfId="23" applyFont="1" applyBorder="1" applyAlignment="1">
      <alignment horizontal="center"/>
      <protection/>
    </xf>
    <xf numFmtId="0" fontId="2" fillId="0" borderId="17" xfId="23" applyFont="1" applyFill="1" applyBorder="1">
      <alignment/>
      <protection/>
    </xf>
    <xf numFmtId="4" fontId="2" fillId="0" borderId="17" xfId="23" applyNumberFormat="1" applyFont="1" applyBorder="1">
      <alignment/>
      <protection/>
    </xf>
    <xf numFmtId="4" fontId="2" fillId="0" borderId="18" xfId="23" applyNumberFormat="1" applyFont="1" applyBorder="1">
      <alignment/>
      <protection/>
    </xf>
    <xf numFmtId="3" fontId="31" fillId="0" borderId="51" xfId="23" applyNumberFormat="1" applyFont="1" applyBorder="1" applyAlignment="1">
      <alignment horizontal="center"/>
      <protection/>
    </xf>
    <xf numFmtId="0" fontId="2" fillId="0" borderId="17" xfId="23" applyFont="1" applyFill="1" applyBorder="1" applyAlignment="1">
      <alignment vertical="top" wrapText="1"/>
      <protection/>
    </xf>
    <xf numFmtId="0" fontId="2" fillId="0" borderId="0" xfId="23">
      <alignment/>
      <protection/>
    </xf>
    <xf numFmtId="0" fontId="2" fillId="0" borderId="17" xfId="23" applyFont="1" applyFill="1" applyBorder="1" applyAlignment="1">
      <alignment wrapText="1"/>
      <protection/>
    </xf>
    <xf numFmtId="0" fontId="2" fillId="0" borderId="52" xfId="23" applyFont="1" applyFill="1" applyBorder="1">
      <alignment/>
      <protection/>
    </xf>
    <xf numFmtId="4" fontId="2" fillId="0" borderId="52" xfId="23" applyNumberFormat="1" applyFont="1" applyBorder="1">
      <alignment/>
      <protection/>
    </xf>
    <xf numFmtId="0" fontId="2" fillId="0" borderId="1" xfId="23" applyFont="1" applyFill="1" applyBorder="1" applyAlignment="1">
      <alignment vertical="center" wrapText="1"/>
      <protection/>
    </xf>
    <xf numFmtId="0" fontId="7" fillId="0" borderId="17" xfId="23" applyFont="1" applyBorder="1" applyAlignment="1">
      <alignment horizontal="center"/>
      <protection/>
    </xf>
    <xf numFmtId="0" fontId="2" fillId="0" borderId="51" xfId="23" applyFont="1" applyBorder="1" applyAlignment="1">
      <alignment horizontal="center"/>
      <protection/>
    </xf>
    <xf numFmtId="0" fontId="2" fillId="0" borderId="1" xfId="23" applyFont="1" applyBorder="1">
      <alignment/>
      <protection/>
    </xf>
    <xf numFmtId="0" fontId="2" fillId="0" borderId="52" xfId="23" applyFont="1" applyFill="1" applyBorder="1" applyAlignment="1">
      <alignment vertical="center" wrapText="1"/>
      <protection/>
    </xf>
    <xf numFmtId="0" fontId="2" fillId="0" borderId="0" xfId="23" applyFont="1" applyBorder="1">
      <alignment/>
      <protection/>
    </xf>
    <xf numFmtId="0" fontId="2" fillId="0" borderId="0" xfId="23" applyFont="1" applyBorder="1" applyAlignment="1">
      <alignment horizontal="center"/>
      <protection/>
    </xf>
    <xf numFmtId="0" fontId="2" fillId="0" borderId="0" xfId="23" applyFont="1" applyFill="1" applyBorder="1" applyAlignment="1">
      <alignment vertical="center" wrapText="1"/>
      <protection/>
    </xf>
    <xf numFmtId="0" fontId="31" fillId="0" borderId="0" xfId="23" applyFont="1">
      <alignment/>
      <protection/>
    </xf>
    <xf numFmtId="0" fontId="49" fillId="0" borderId="0" xfId="23" applyFont="1" applyAlignment="1">
      <alignment horizontal="left"/>
      <protection/>
    </xf>
    <xf numFmtId="0" fontId="31" fillId="0" borderId="0" xfId="23" applyFont="1" applyFill="1">
      <alignment/>
      <protection/>
    </xf>
    <xf numFmtId="0" fontId="31" fillId="0" borderId="0" xfId="23" applyFont="1">
      <alignment/>
      <protection/>
    </xf>
    <xf numFmtId="0" fontId="31" fillId="0" borderId="0" xfId="23" applyFont="1" applyAlignment="1">
      <alignment/>
      <protection/>
    </xf>
    <xf numFmtId="14" fontId="2" fillId="0" borderId="0" xfId="23" applyNumberFormat="1" applyFont="1" applyAlignment="1">
      <alignment horizontal="left"/>
      <protection/>
    </xf>
    <xf numFmtId="0" fontId="10" fillId="0" borderId="0" xfId="24" applyFont="1" applyAlignment="1">
      <alignment/>
      <protection/>
    </xf>
    <xf numFmtId="0" fontId="7" fillId="0" borderId="0" xfId="24" applyFont="1" applyFill="1">
      <alignment/>
      <protection/>
    </xf>
    <xf numFmtId="0" fontId="10" fillId="0" borderId="0" xfId="24" applyFont="1" applyAlignment="1">
      <alignment horizontal="right"/>
      <protection/>
    </xf>
    <xf numFmtId="0" fontId="2" fillId="0" borderId="0" xfId="24" applyFont="1">
      <alignment/>
      <protection/>
    </xf>
    <xf numFmtId="0" fontId="45" fillId="0" borderId="0" xfId="24" applyFont="1">
      <alignment/>
      <protection/>
    </xf>
    <xf numFmtId="0" fontId="2" fillId="0" borderId="0" xfId="24" applyFont="1" applyFill="1">
      <alignment/>
      <protection/>
    </xf>
    <xf numFmtId="0" fontId="2" fillId="0" borderId="0" xfId="24" applyFont="1" applyAlignment="1">
      <alignment horizontal="right"/>
      <protection/>
    </xf>
    <xf numFmtId="0" fontId="4" fillId="0" borderId="1" xfId="24" applyFont="1" applyBorder="1" applyAlignment="1">
      <alignment horizontal="center" vertical="top" wrapText="1"/>
      <protection/>
    </xf>
    <xf numFmtId="0" fontId="4" fillId="0" borderId="16" xfId="24" applyFont="1" applyBorder="1" applyAlignment="1">
      <alignment horizontal="center" vertical="top" wrapText="1"/>
      <protection/>
    </xf>
    <xf numFmtId="0" fontId="2" fillId="0" borderId="1" xfId="24" applyFont="1" applyBorder="1" applyAlignment="1">
      <alignment horizontal="center" vertical="top"/>
      <protection/>
    </xf>
    <xf numFmtId="0" fontId="2" fillId="0" borderId="1" xfId="24" applyFont="1" applyBorder="1" applyAlignment="1">
      <alignment horizontal="center" vertical="top" wrapText="1"/>
      <protection/>
    </xf>
    <xf numFmtId="0" fontId="2" fillId="0" borderId="1" xfId="24" applyFont="1" applyFill="1" applyBorder="1" applyAlignment="1">
      <alignment horizontal="center" vertical="top" wrapText="1"/>
      <protection/>
    </xf>
    <xf numFmtId="0" fontId="2" fillId="0" borderId="0" xfId="24" applyFont="1" applyAlignment="1">
      <alignment vertical="top"/>
      <protection/>
    </xf>
    <xf numFmtId="0" fontId="2" fillId="0" borderId="1" xfId="24" applyFont="1" applyBorder="1" applyAlignment="1">
      <alignment horizontal="center"/>
      <protection/>
    </xf>
    <xf numFmtId="0" fontId="2" fillId="0" borderId="16" xfId="24" applyFont="1" applyBorder="1" applyAlignment="1">
      <alignment horizontal="center"/>
      <protection/>
    </xf>
    <xf numFmtId="0" fontId="31" fillId="0" borderId="1" xfId="24" applyFont="1" applyBorder="1" applyAlignment="1">
      <alignment horizontal="center"/>
      <protection/>
    </xf>
    <xf numFmtId="0" fontId="31" fillId="0" borderId="1" xfId="24" applyFont="1" applyFill="1" applyBorder="1" applyAlignment="1">
      <alignment horizontal="center"/>
      <protection/>
    </xf>
    <xf numFmtId="0" fontId="48" fillId="0" borderId="1" xfId="24" applyFont="1" applyBorder="1" applyAlignment="1">
      <alignment horizontal="center"/>
      <protection/>
    </xf>
    <xf numFmtId="0" fontId="31" fillId="0" borderId="16" xfId="24" applyFont="1" applyBorder="1" applyAlignment="1">
      <alignment horizontal="center"/>
      <protection/>
    </xf>
    <xf numFmtId="0" fontId="2" fillId="0" borderId="1" xfId="24" applyFont="1" applyFill="1" applyBorder="1" applyAlignment="1">
      <alignment vertical="center"/>
      <protection/>
    </xf>
    <xf numFmtId="4" fontId="2" fillId="0" borderId="1" xfId="24" applyNumberFormat="1" applyFont="1" applyBorder="1">
      <alignment/>
      <protection/>
    </xf>
    <xf numFmtId="0" fontId="48" fillId="0" borderId="17" xfId="24" applyFont="1" applyBorder="1" applyAlignment="1">
      <alignment horizontal="center"/>
      <protection/>
    </xf>
    <xf numFmtId="0" fontId="31" fillId="0" borderId="51" xfId="24" applyFont="1" applyBorder="1" applyAlignment="1">
      <alignment horizontal="center"/>
      <protection/>
    </xf>
    <xf numFmtId="0" fontId="2" fillId="0" borderId="17" xfId="24" applyFont="1" applyFill="1" applyBorder="1">
      <alignment/>
      <protection/>
    </xf>
    <xf numFmtId="4" fontId="2" fillId="0" borderId="17" xfId="24" applyNumberFormat="1" applyFont="1" applyBorder="1">
      <alignment/>
      <protection/>
    </xf>
    <xf numFmtId="4" fontId="2" fillId="0" borderId="18" xfId="24" applyNumberFormat="1" applyFont="1" applyBorder="1">
      <alignment/>
      <protection/>
    </xf>
    <xf numFmtId="3" fontId="31" fillId="0" borderId="51" xfId="24" applyNumberFormat="1" applyFont="1" applyBorder="1" applyAlignment="1">
      <alignment horizontal="center"/>
      <protection/>
    </xf>
    <xf numFmtId="0" fontId="2" fillId="0" borderId="17" xfId="24" applyFont="1" applyFill="1" applyBorder="1" applyAlignment="1">
      <alignment vertical="top" wrapText="1"/>
      <protection/>
    </xf>
    <xf numFmtId="0" fontId="2" fillId="0" borderId="17" xfId="24" applyFont="1" applyFill="1" applyBorder="1" applyAlignment="1">
      <alignment wrapText="1"/>
      <protection/>
    </xf>
    <xf numFmtId="0" fontId="2" fillId="0" borderId="52" xfId="24" applyFont="1" applyFill="1" applyBorder="1">
      <alignment/>
      <protection/>
    </xf>
    <xf numFmtId="4" fontId="2" fillId="0" borderId="52" xfId="24" applyNumberFormat="1" applyFont="1" applyBorder="1">
      <alignment/>
      <protection/>
    </xf>
    <xf numFmtId="0" fontId="2" fillId="0" borderId="1" xfId="24" applyFont="1" applyFill="1" applyBorder="1" applyAlignment="1">
      <alignment vertical="center" wrapText="1"/>
      <protection/>
    </xf>
    <xf numFmtId="0" fontId="7" fillId="0" borderId="17" xfId="24" applyFont="1" applyBorder="1" applyAlignment="1">
      <alignment horizontal="center"/>
      <protection/>
    </xf>
    <xf numFmtId="0" fontId="2" fillId="0" borderId="51" xfId="24" applyFont="1" applyBorder="1" applyAlignment="1">
      <alignment horizontal="center"/>
      <protection/>
    </xf>
    <xf numFmtId="0" fontId="2" fillId="0" borderId="1" xfId="24" applyFont="1" applyBorder="1">
      <alignment/>
      <protection/>
    </xf>
    <xf numFmtId="0" fontId="2" fillId="0" borderId="52" xfId="24" applyFont="1" applyFill="1" applyBorder="1" applyAlignment="1">
      <alignment vertical="center" wrapText="1"/>
      <protection/>
    </xf>
    <xf numFmtId="0" fontId="2" fillId="0" borderId="0" xfId="24" applyFont="1" applyBorder="1">
      <alignment/>
      <protection/>
    </xf>
    <xf numFmtId="0" fontId="2" fillId="0" borderId="0" xfId="24" applyFont="1" applyBorder="1" applyAlignment="1">
      <alignment horizontal="center"/>
      <protection/>
    </xf>
    <xf numFmtId="0" fontId="2" fillId="0" borderId="0" xfId="24" applyFont="1" applyFill="1" applyBorder="1" applyAlignment="1">
      <alignment vertical="center" wrapText="1"/>
      <protection/>
    </xf>
    <xf numFmtId="0" fontId="31" fillId="0" borderId="0" xfId="24" applyFont="1">
      <alignment/>
      <protection/>
    </xf>
    <xf numFmtId="0" fontId="49" fillId="0" borderId="0" xfId="24" applyFont="1" applyAlignment="1">
      <alignment horizontal="left"/>
      <protection/>
    </xf>
    <xf numFmtId="0" fontId="31" fillId="0" borderId="0" xfId="24" applyFont="1" applyFill="1">
      <alignment/>
      <protection/>
    </xf>
    <xf numFmtId="0" fontId="31" fillId="0" borderId="0" xfId="24" applyFont="1">
      <alignment/>
      <protection/>
    </xf>
    <xf numFmtId="0" fontId="2" fillId="0" borderId="0" xfId="24">
      <alignment/>
      <protection/>
    </xf>
    <xf numFmtId="0" fontId="31" fillId="0" borderId="0" xfId="24" applyFont="1" applyAlignment="1">
      <alignment/>
      <protection/>
    </xf>
    <xf numFmtId="14" fontId="2" fillId="0" borderId="0" xfId="24" applyNumberFormat="1" applyFont="1" applyAlignment="1">
      <alignment horizontal="left"/>
      <protection/>
    </xf>
    <xf numFmtId="0" fontId="10" fillId="0" borderId="0" xfId="25" applyFont="1" applyAlignment="1">
      <alignment/>
      <protection/>
    </xf>
    <xf numFmtId="0" fontId="7" fillId="0" borderId="0" xfId="25" applyFont="1" applyFill="1">
      <alignment/>
      <protection/>
    </xf>
    <xf numFmtId="0" fontId="10" fillId="0" borderId="0" xfId="25" applyFont="1" applyAlignment="1">
      <alignment horizontal="right"/>
      <protection/>
    </xf>
    <xf numFmtId="0" fontId="2" fillId="0" borderId="0" xfId="25" applyFont="1">
      <alignment/>
      <protection/>
    </xf>
    <xf numFmtId="0" fontId="45" fillId="0" borderId="0" xfId="25" applyFont="1">
      <alignment/>
      <protection/>
    </xf>
    <xf numFmtId="0" fontId="2" fillId="0" borderId="0" xfId="25" applyFont="1" applyFill="1">
      <alignment/>
      <protection/>
    </xf>
    <xf numFmtId="0" fontId="2" fillId="0" borderId="0" xfId="25" applyFont="1" applyAlignment="1">
      <alignment horizontal="center"/>
      <protection/>
    </xf>
    <xf numFmtId="0" fontId="2" fillId="0" borderId="0" xfId="25" applyFont="1" applyAlignment="1">
      <alignment horizontal="right"/>
      <protection/>
    </xf>
    <xf numFmtId="0" fontId="4" fillId="0" borderId="1" xfId="25" applyFont="1" applyBorder="1" applyAlignment="1">
      <alignment horizontal="center" vertical="top" wrapText="1"/>
      <protection/>
    </xf>
    <xf numFmtId="0" fontId="4" fillId="0" borderId="16" xfId="25" applyFont="1" applyBorder="1" applyAlignment="1">
      <alignment horizontal="center" vertical="top" wrapText="1"/>
      <protection/>
    </xf>
    <xf numFmtId="0" fontId="2" fillId="0" borderId="1" xfId="25" applyFont="1" applyBorder="1" applyAlignment="1">
      <alignment horizontal="center" vertical="top"/>
      <protection/>
    </xf>
    <xf numFmtId="0" fontId="2" fillId="0" borderId="1" xfId="25" applyFont="1" applyBorder="1" applyAlignment="1">
      <alignment horizontal="center" vertical="top" wrapText="1"/>
      <protection/>
    </xf>
    <xf numFmtId="0" fontId="2" fillId="0" borderId="1" xfId="25" applyFont="1" applyFill="1" applyBorder="1" applyAlignment="1">
      <alignment horizontal="center" vertical="top" wrapText="1"/>
      <protection/>
    </xf>
    <xf numFmtId="0" fontId="2" fillId="0" borderId="0" xfId="25" applyFont="1" applyAlignment="1">
      <alignment vertical="top"/>
      <protection/>
    </xf>
    <xf numFmtId="0" fontId="2" fillId="0" borderId="1" xfId="25" applyFont="1" applyBorder="1" applyAlignment="1">
      <alignment horizontal="center"/>
      <protection/>
    </xf>
    <xf numFmtId="0" fontId="2" fillId="0" borderId="16" xfId="25" applyFont="1" applyBorder="1" applyAlignment="1">
      <alignment horizontal="center"/>
      <protection/>
    </xf>
    <xf numFmtId="0" fontId="31" fillId="0" borderId="1" xfId="25" applyFont="1" applyBorder="1" applyAlignment="1">
      <alignment horizontal="center"/>
      <protection/>
    </xf>
    <xf numFmtId="0" fontId="31" fillId="0" borderId="1" xfId="25" applyFont="1" applyFill="1" applyBorder="1" applyAlignment="1">
      <alignment horizontal="center"/>
      <protection/>
    </xf>
    <xf numFmtId="0" fontId="48" fillId="0" borderId="1" xfId="25" applyFont="1" applyBorder="1" applyAlignment="1">
      <alignment horizontal="center"/>
      <protection/>
    </xf>
    <xf numFmtId="0" fontId="31" fillId="0" borderId="16" xfId="25" applyFont="1" applyBorder="1" applyAlignment="1">
      <alignment horizontal="center"/>
      <protection/>
    </xf>
    <xf numFmtId="0" fontId="2" fillId="0" borderId="1" xfId="25" applyFont="1" applyFill="1" applyBorder="1" applyAlignment="1">
      <alignment vertical="center"/>
      <protection/>
    </xf>
    <xf numFmtId="4" fontId="2" fillId="0" borderId="1" xfId="25" applyNumberFormat="1" applyFont="1" applyBorder="1">
      <alignment/>
      <protection/>
    </xf>
    <xf numFmtId="0" fontId="48" fillId="0" borderId="17" xfId="25" applyFont="1" applyBorder="1" applyAlignment="1">
      <alignment horizontal="center"/>
      <protection/>
    </xf>
    <xf numFmtId="0" fontId="31" fillId="0" borderId="51" xfId="25" applyFont="1" applyBorder="1" applyAlignment="1">
      <alignment horizontal="center"/>
      <protection/>
    </xf>
    <xf numFmtId="0" fontId="2" fillId="0" borderId="17" xfId="25" applyFont="1" applyFill="1" applyBorder="1">
      <alignment/>
      <protection/>
    </xf>
    <xf numFmtId="4" fontId="2" fillId="0" borderId="17" xfId="25" applyNumberFormat="1" applyFont="1" applyBorder="1">
      <alignment/>
      <protection/>
    </xf>
    <xf numFmtId="4" fontId="2" fillId="0" borderId="18" xfId="25" applyNumberFormat="1" applyFont="1" applyBorder="1">
      <alignment/>
      <protection/>
    </xf>
    <xf numFmtId="3" fontId="31" fillId="0" borderId="51" xfId="25" applyNumberFormat="1" applyFont="1" applyBorder="1" applyAlignment="1">
      <alignment horizontal="center"/>
      <protection/>
    </xf>
    <xf numFmtId="0" fontId="2" fillId="0" borderId="17" xfId="25" applyFont="1" applyFill="1" applyBorder="1" applyAlignment="1">
      <alignment vertical="top" wrapText="1"/>
      <protection/>
    </xf>
    <xf numFmtId="0" fontId="2" fillId="0" borderId="17" xfId="25" applyFont="1" applyFill="1" applyBorder="1" applyAlignment="1">
      <alignment wrapText="1"/>
      <protection/>
    </xf>
    <xf numFmtId="0" fontId="2" fillId="0" borderId="52" xfId="25" applyFont="1" applyFill="1" applyBorder="1">
      <alignment/>
      <protection/>
    </xf>
    <xf numFmtId="4" fontId="2" fillId="0" borderId="52" xfId="25" applyNumberFormat="1" applyFont="1" applyBorder="1">
      <alignment/>
      <protection/>
    </xf>
    <xf numFmtId="0" fontId="2" fillId="0" borderId="1" xfId="25" applyFont="1" applyFill="1" applyBorder="1" applyAlignment="1">
      <alignment vertical="center" wrapText="1"/>
      <protection/>
    </xf>
    <xf numFmtId="0" fontId="7" fillId="0" borderId="17" xfId="25" applyFont="1" applyBorder="1" applyAlignment="1">
      <alignment horizontal="center"/>
      <protection/>
    </xf>
    <xf numFmtId="0" fontId="2" fillId="0" borderId="51" xfId="25" applyFont="1" applyBorder="1" applyAlignment="1">
      <alignment horizontal="center"/>
      <protection/>
    </xf>
    <xf numFmtId="0" fontId="2" fillId="0" borderId="1" xfId="25" applyFont="1" applyBorder="1">
      <alignment/>
      <protection/>
    </xf>
    <xf numFmtId="0" fontId="2" fillId="0" borderId="52" xfId="25" applyFont="1" applyFill="1" applyBorder="1" applyAlignment="1">
      <alignment vertical="center" wrapText="1"/>
      <protection/>
    </xf>
    <xf numFmtId="0" fontId="2" fillId="0" borderId="0" xfId="25" applyFont="1" applyBorder="1">
      <alignment/>
      <protection/>
    </xf>
    <xf numFmtId="0" fontId="2" fillId="0" borderId="0" xfId="25" applyFont="1" applyBorder="1" applyAlignment="1">
      <alignment horizontal="center"/>
      <protection/>
    </xf>
    <xf numFmtId="0" fontId="2" fillId="0" borderId="0" xfId="25" applyFont="1" applyFill="1" applyBorder="1" applyAlignment="1">
      <alignment vertical="center" wrapText="1"/>
      <protection/>
    </xf>
    <xf numFmtId="0" fontId="31" fillId="0" borderId="0" xfId="25" applyFont="1">
      <alignment/>
      <protection/>
    </xf>
    <xf numFmtId="0" fontId="49" fillId="0" borderId="0" xfId="25" applyFont="1" applyAlignment="1">
      <alignment horizontal="left"/>
      <protection/>
    </xf>
    <xf numFmtId="0" fontId="31" fillId="0" borderId="0" xfId="25" applyFont="1" applyFill="1">
      <alignment/>
      <protection/>
    </xf>
    <xf numFmtId="0" fontId="31" fillId="0" borderId="0" xfId="25" applyFont="1">
      <alignment/>
      <protection/>
    </xf>
    <xf numFmtId="0" fontId="2" fillId="0" borderId="0" xfId="25">
      <alignment/>
      <protection/>
    </xf>
    <xf numFmtId="0" fontId="31" fillId="0" borderId="0" xfId="25" applyFont="1" applyAlignment="1">
      <alignment/>
      <protection/>
    </xf>
    <xf numFmtId="14" fontId="2" fillId="0" borderId="0" xfId="25" applyNumberFormat="1" applyFont="1" applyAlignment="1">
      <alignment horizontal="left"/>
      <protection/>
    </xf>
    <xf numFmtId="0" fontId="10" fillId="0" borderId="0" xfId="26" applyFont="1" applyAlignment="1">
      <alignment/>
      <protection/>
    </xf>
    <xf numFmtId="0" fontId="7" fillId="0" borderId="0" xfId="26" applyFont="1" applyFill="1">
      <alignment/>
      <protection/>
    </xf>
    <xf numFmtId="0" fontId="10" fillId="0" borderId="0" xfId="26" applyFont="1" applyAlignment="1">
      <alignment horizontal="right"/>
      <protection/>
    </xf>
    <xf numFmtId="0" fontId="2" fillId="0" borderId="0" xfId="26" applyFont="1">
      <alignment/>
      <protection/>
    </xf>
    <xf numFmtId="0" fontId="45" fillId="0" borderId="0" xfId="26" applyFont="1">
      <alignment/>
      <protection/>
    </xf>
    <xf numFmtId="0" fontId="2" fillId="0" borderId="0" xfId="26" applyFont="1" applyFill="1">
      <alignment/>
      <protection/>
    </xf>
    <xf numFmtId="0" fontId="2" fillId="0" borderId="0" xfId="26" applyFont="1" applyAlignment="1">
      <alignment horizontal="center"/>
      <protection/>
    </xf>
    <xf numFmtId="0" fontId="2" fillId="0" borderId="0" xfId="26" applyFont="1" applyAlignment="1">
      <alignment horizontal="right"/>
      <protection/>
    </xf>
    <xf numFmtId="0" fontId="4" fillId="0" borderId="1" xfId="26" applyFont="1" applyBorder="1" applyAlignment="1">
      <alignment horizontal="center" vertical="top" wrapText="1"/>
      <protection/>
    </xf>
    <xf numFmtId="0" fontId="4" fillId="0" borderId="16" xfId="26" applyFont="1" applyBorder="1" applyAlignment="1">
      <alignment horizontal="center" vertical="top" wrapText="1"/>
      <protection/>
    </xf>
    <xf numFmtId="0" fontId="2" fillId="0" borderId="1" xfId="26" applyFont="1" applyBorder="1" applyAlignment="1">
      <alignment horizontal="center" vertical="top"/>
      <protection/>
    </xf>
    <xf numFmtId="0" fontId="2" fillId="0" borderId="1" xfId="26" applyFont="1" applyBorder="1" applyAlignment="1">
      <alignment horizontal="center" vertical="top" wrapText="1"/>
      <protection/>
    </xf>
    <xf numFmtId="0" fontId="2" fillId="0" borderId="1" xfId="26" applyFont="1" applyFill="1" applyBorder="1" applyAlignment="1">
      <alignment horizontal="center" vertical="top" wrapText="1"/>
      <protection/>
    </xf>
    <xf numFmtId="0" fontId="2" fillId="0" borderId="0" xfId="26" applyFont="1" applyAlignment="1">
      <alignment vertical="top"/>
      <protection/>
    </xf>
    <xf numFmtId="0" fontId="2" fillId="0" borderId="1" xfId="26" applyFont="1" applyBorder="1" applyAlignment="1">
      <alignment horizontal="center"/>
      <protection/>
    </xf>
    <xf numFmtId="0" fontId="2" fillId="0" borderId="16" xfId="26" applyFont="1" applyBorder="1" applyAlignment="1">
      <alignment horizontal="center"/>
      <protection/>
    </xf>
    <xf numFmtId="0" fontId="31" fillId="0" borderId="1" xfId="26" applyFont="1" applyBorder="1" applyAlignment="1">
      <alignment horizontal="center"/>
      <protection/>
    </xf>
    <xf numFmtId="0" fontId="31" fillId="0" borderId="1" xfId="26" applyFont="1" applyFill="1" applyBorder="1" applyAlignment="1">
      <alignment horizontal="center"/>
      <protection/>
    </xf>
    <xf numFmtId="0" fontId="48" fillId="0" borderId="1" xfId="26" applyFont="1" applyBorder="1" applyAlignment="1">
      <alignment horizontal="center"/>
      <protection/>
    </xf>
    <xf numFmtId="0" fontId="31" fillId="0" borderId="16" xfId="26" applyFont="1" applyBorder="1" applyAlignment="1">
      <alignment horizontal="center"/>
      <protection/>
    </xf>
    <xf numFmtId="0" fontId="2" fillId="0" borderId="1" xfId="26" applyFont="1" applyFill="1" applyBorder="1" applyAlignment="1">
      <alignment vertical="center"/>
      <protection/>
    </xf>
    <xf numFmtId="4" fontId="2" fillId="0" borderId="1" xfId="26" applyNumberFormat="1" applyFont="1" applyBorder="1">
      <alignment/>
      <protection/>
    </xf>
    <xf numFmtId="0" fontId="48" fillId="0" borderId="17" xfId="26" applyFont="1" applyBorder="1" applyAlignment="1">
      <alignment horizontal="center"/>
      <protection/>
    </xf>
    <xf numFmtId="0" fontId="31" fillId="0" borderId="51" xfId="26" applyFont="1" applyBorder="1" applyAlignment="1">
      <alignment horizontal="center"/>
      <protection/>
    </xf>
    <xf numFmtId="0" fontId="2" fillId="0" borderId="17" xfId="26" applyFont="1" applyFill="1" applyBorder="1">
      <alignment/>
      <protection/>
    </xf>
    <xf numFmtId="4" fontId="2" fillId="0" borderId="17" xfId="26" applyNumberFormat="1" applyFont="1" applyBorder="1">
      <alignment/>
      <protection/>
    </xf>
    <xf numFmtId="4" fontId="2" fillId="0" borderId="18" xfId="26" applyNumberFormat="1" applyFont="1" applyBorder="1">
      <alignment/>
      <protection/>
    </xf>
    <xf numFmtId="3" fontId="31" fillId="0" borderId="51" xfId="26" applyNumberFormat="1" applyFont="1" applyBorder="1" applyAlignment="1">
      <alignment horizontal="center"/>
      <protection/>
    </xf>
    <xf numFmtId="0" fontId="2" fillId="0" borderId="17" xfId="26" applyFont="1" applyFill="1" applyBorder="1" applyAlignment="1">
      <alignment vertical="top" wrapText="1"/>
      <protection/>
    </xf>
    <xf numFmtId="0" fontId="2" fillId="0" borderId="17" xfId="26" applyFont="1" applyFill="1" applyBorder="1" applyAlignment="1">
      <alignment wrapText="1"/>
      <protection/>
    </xf>
    <xf numFmtId="0" fontId="2" fillId="0" borderId="52" xfId="26" applyFont="1" applyFill="1" applyBorder="1">
      <alignment/>
      <protection/>
    </xf>
    <xf numFmtId="4" fontId="2" fillId="0" borderId="52" xfId="26" applyNumberFormat="1" applyFont="1" applyBorder="1">
      <alignment/>
      <protection/>
    </xf>
    <xf numFmtId="0" fontId="2" fillId="0" borderId="1" xfId="26" applyFont="1" applyFill="1" applyBorder="1" applyAlignment="1">
      <alignment vertical="center" wrapText="1"/>
      <protection/>
    </xf>
    <xf numFmtId="0" fontId="7" fillId="0" borderId="17" xfId="26" applyFont="1" applyBorder="1" applyAlignment="1">
      <alignment horizontal="center"/>
      <protection/>
    </xf>
    <xf numFmtId="0" fontId="2" fillId="0" borderId="51" xfId="26" applyFont="1" applyBorder="1" applyAlignment="1">
      <alignment horizontal="center"/>
      <protection/>
    </xf>
    <xf numFmtId="0" fontId="2" fillId="0" borderId="1" xfId="26" applyFont="1" applyBorder="1">
      <alignment/>
      <protection/>
    </xf>
    <xf numFmtId="0" fontId="2" fillId="0" borderId="52" xfId="26" applyFont="1" applyFill="1" applyBorder="1" applyAlignment="1">
      <alignment vertical="center" wrapText="1"/>
      <protection/>
    </xf>
    <xf numFmtId="0" fontId="2" fillId="0" borderId="0" xfId="26" applyFont="1" applyBorder="1">
      <alignment/>
      <protection/>
    </xf>
    <xf numFmtId="0" fontId="2" fillId="0" borderId="0" xfId="26" applyFont="1" applyBorder="1" applyAlignment="1">
      <alignment horizontal="center"/>
      <protection/>
    </xf>
    <xf numFmtId="0" fontId="2" fillId="0" borderId="0" xfId="26" applyFont="1" applyFill="1" applyBorder="1" applyAlignment="1">
      <alignment vertical="center" wrapText="1"/>
      <protection/>
    </xf>
    <xf numFmtId="0" fontId="31" fillId="0" borderId="0" xfId="26" applyFont="1">
      <alignment/>
      <protection/>
    </xf>
    <xf numFmtId="0" fontId="49" fillId="0" borderId="0" xfId="26" applyFont="1" applyAlignment="1">
      <alignment horizontal="left"/>
      <protection/>
    </xf>
    <xf numFmtId="0" fontId="31" fillId="0" borderId="0" xfId="26" applyFont="1" applyFill="1">
      <alignment/>
      <protection/>
    </xf>
    <xf numFmtId="0" fontId="31" fillId="0" borderId="0" xfId="26" applyFont="1">
      <alignment/>
      <protection/>
    </xf>
    <xf numFmtId="0" fontId="2" fillId="0" borderId="0" xfId="26">
      <alignment/>
      <protection/>
    </xf>
    <xf numFmtId="0" fontId="31" fillId="0" borderId="0" xfId="26" applyFont="1" applyAlignment="1">
      <alignment/>
      <protection/>
    </xf>
    <xf numFmtId="14" fontId="2" fillId="0" borderId="0" xfId="26" applyNumberFormat="1" applyFont="1" applyAlignment="1">
      <alignment horizontal="left"/>
      <protection/>
    </xf>
    <xf numFmtId="0" fontId="10" fillId="0" borderId="0" xfId="27" applyFont="1" applyAlignment="1">
      <alignment/>
      <protection/>
    </xf>
    <xf numFmtId="0" fontId="7" fillId="0" borderId="0" xfId="27" applyFont="1" applyFill="1">
      <alignment/>
      <protection/>
    </xf>
    <xf numFmtId="0" fontId="10" fillId="0" borderId="0" xfId="27" applyFont="1" applyAlignment="1">
      <alignment horizontal="right"/>
      <protection/>
    </xf>
    <xf numFmtId="0" fontId="2" fillId="0" borderId="0" xfId="27" applyFont="1">
      <alignment/>
      <protection/>
    </xf>
    <xf numFmtId="0" fontId="45" fillId="0" borderId="0" xfId="27" applyFont="1">
      <alignment/>
      <protection/>
    </xf>
    <xf numFmtId="0" fontId="2" fillId="0" borderId="0" xfId="27" applyFont="1" applyFill="1">
      <alignment/>
      <protection/>
    </xf>
    <xf numFmtId="0" fontId="2" fillId="0" borderId="0" xfId="27" applyFont="1" applyAlignment="1">
      <alignment horizontal="center"/>
      <protection/>
    </xf>
    <xf numFmtId="0" fontId="2" fillId="0" borderId="0" xfId="27" applyFont="1" applyAlignment="1">
      <alignment horizontal="right"/>
      <protection/>
    </xf>
    <xf numFmtId="0" fontId="4" fillId="0" borderId="1" xfId="27" applyFont="1" applyBorder="1" applyAlignment="1">
      <alignment horizontal="center" vertical="top" wrapText="1"/>
      <protection/>
    </xf>
    <xf numFmtId="0" fontId="4" fillId="0" borderId="16" xfId="27" applyFont="1" applyBorder="1" applyAlignment="1">
      <alignment horizontal="center" vertical="top" wrapText="1"/>
      <protection/>
    </xf>
    <xf numFmtId="0" fontId="2" fillId="0" borderId="1" xfId="27" applyFont="1" applyBorder="1" applyAlignment="1">
      <alignment horizontal="center" vertical="top"/>
      <protection/>
    </xf>
    <xf numFmtId="0" fontId="2" fillId="0" borderId="1" xfId="27" applyFont="1" applyBorder="1" applyAlignment="1">
      <alignment horizontal="center" vertical="top" wrapText="1"/>
      <protection/>
    </xf>
    <xf numFmtId="0" fontId="2" fillId="0" borderId="1" xfId="27" applyFont="1" applyFill="1" applyBorder="1" applyAlignment="1">
      <alignment horizontal="center" vertical="top" wrapText="1"/>
      <protection/>
    </xf>
    <xf numFmtId="0" fontId="2" fillId="0" borderId="0" xfId="27" applyFont="1" applyAlignment="1">
      <alignment vertical="top"/>
      <protection/>
    </xf>
    <xf numFmtId="0" fontId="2" fillId="0" borderId="1" xfId="27" applyFont="1" applyBorder="1" applyAlignment="1">
      <alignment horizontal="center"/>
      <protection/>
    </xf>
    <xf numFmtId="0" fontId="2" fillId="0" borderId="16" xfId="27" applyFont="1" applyBorder="1" applyAlignment="1">
      <alignment horizontal="center"/>
      <protection/>
    </xf>
    <xf numFmtId="0" fontId="31" fillId="0" borderId="1" xfId="27" applyFont="1" applyBorder="1" applyAlignment="1">
      <alignment horizontal="center"/>
      <protection/>
    </xf>
    <xf numFmtId="0" fontId="31" fillId="0" borderId="1" xfId="27" applyFont="1" applyFill="1" applyBorder="1" applyAlignment="1">
      <alignment horizontal="center"/>
      <protection/>
    </xf>
    <xf numFmtId="0" fontId="48" fillId="0" borderId="1" xfId="27" applyFont="1" applyBorder="1" applyAlignment="1">
      <alignment horizontal="center"/>
      <protection/>
    </xf>
    <xf numFmtId="0" fontId="31" fillId="0" borderId="16" xfId="27" applyFont="1" applyBorder="1" applyAlignment="1">
      <alignment horizontal="center"/>
      <protection/>
    </xf>
    <xf numFmtId="0" fontId="2" fillId="0" borderId="1" xfId="27" applyFont="1" applyFill="1" applyBorder="1" applyAlignment="1">
      <alignment vertical="center"/>
      <protection/>
    </xf>
    <xf numFmtId="4" fontId="2" fillId="0" borderId="1" xfId="27" applyNumberFormat="1" applyFont="1" applyBorder="1">
      <alignment/>
      <protection/>
    </xf>
    <xf numFmtId="0" fontId="48" fillId="0" borderId="17" xfId="27" applyFont="1" applyBorder="1" applyAlignment="1">
      <alignment horizontal="center"/>
      <protection/>
    </xf>
    <xf numFmtId="0" fontId="31" fillId="0" borderId="51" xfId="27" applyFont="1" applyBorder="1" applyAlignment="1">
      <alignment horizontal="center"/>
      <protection/>
    </xf>
    <xf numFmtId="0" fontId="2" fillId="0" borderId="17" xfId="27" applyFont="1" applyFill="1" applyBorder="1">
      <alignment/>
      <protection/>
    </xf>
    <xf numFmtId="4" fontId="2" fillId="0" borderId="17" xfId="27" applyNumberFormat="1" applyFont="1" applyBorder="1">
      <alignment/>
      <protection/>
    </xf>
    <xf numFmtId="4" fontId="2" fillId="0" borderId="18" xfId="27" applyNumberFormat="1" applyFont="1" applyBorder="1">
      <alignment/>
      <protection/>
    </xf>
    <xf numFmtId="3" fontId="31" fillId="0" borderId="51" xfId="27" applyNumberFormat="1" applyFont="1" applyBorder="1" applyAlignment="1">
      <alignment horizontal="center"/>
      <protection/>
    </xf>
    <xf numFmtId="0" fontId="2" fillId="0" borderId="17" xfId="27" applyFont="1" applyFill="1" applyBorder="1" applyAlignment="1">
      <alignment vertical="top" wrapText="1"/>
      <protection/>
    </xf>
    <xf numFmtId="0" fontId="2" fillId="0" borderId="17" xfId="27" applyFont="1" applyFill="1" applyBorder="1" applyAlignment="1">
      <alignment wrapText="1"/>
      <protection/>
    </xf>
    <xf numFmtId="0" fontId="2" fillId="0" borderId="52" xfId="27" applyFont="1" applyFill="1" applyBorder="1">
      <alignment/>
      <protection/>
    </xf>
    <xf numFmtId="4" fontId="2" fillId="0" borderId="52" xfId="27" applyNumberFormat="1" applyFont="1" applyBorder="1">
      <alignment/>
      <protection/>
    </xf>
    <xf numFmtId="0" fontId="2" fillId="0" borderId="1" xfId="27" applyFont="1" applyFill="1" applyBorder="1" applyAlignment="1">
      <alignment vertical="center" wrapText="1"/>
      <protection/>
    </xf>
    <xf numFmtId="0" fontId="7" fillId="0" borderId="17" xfId="27" applyFont="1" applyBorder="1" applyAlignment="1">
      <alignment horizontal="center"/>
      <protection/>
    </xf>
    <xf numFmtId="0" fontId="2" fillId="0" borderId="51" xfId="27" applyFont="1" applyBorder="1" applyAlignment="1">
      <alignment horizontal="center"/>
      <protection/>
    </xf>
    <xf numFmtId="0" fontId="2" fillId="0" borderId="1" xfId="27" applyFont="1" applyBorder="1">
      <alignment/>
      <protection/>
    </xf>
    <xf numFmtId="0" fontId="2" fillId="0" borderId="52" xfId="27" applyFont="1" applyFill="1" applyBorder="1" applyAlignment="1">
      <alignment vertical="center" wrapText="1"/>
      <protection/>
    </xf>
    <xf numFmtId="0" fontId="2" fillId="0" borderId="0" xfId="27" applyFont="1" applyBorder="1">
      <alignment/>
      <protection/>
    </xf>
    <xf numFmtId="0" fontId="2" fillId="0" borderId="0" xfId="27" applyFont="1" applyBorder="1" applyAlignment="1">
      <alignment horizontal="center"/>
      <protection/>
    </xf>
    <xf numFmtId="0" fontId="2" fillId="0" borderId="0" xfId="27" applyFont="1" applyFill="1" applyBorder="1" applyAlignment="1">
      <alignment vertical="center" wrapText="1"/>
      <protection/>
    </xf>
    <xf numFmtId="0" fontId="31" fillId="0" borderId="0" xfId="27" applyFont="1">
      <alignment/>
      <protection/>
    </xf>
    <xf numFmtId="0" fontId="49" fillId="0" borderId="0" xfId="27" applyFont="1" applyAlignment="1">
      <alignment horizontal="left"/>
      <protection/>
    </xf>
    <xf numFmtId="0" fontId="31" fillId="0" borderId="0" xfId="27" applyFont="1" applyFill="1">
      <alignment/>
      <protection/>
    </xf>
    <xf numFmtId="0" fontId="31" fillId="0" borderId="0" xfId="27" applyFont="1">
      <alignment/>
      <protection/>
    </xf>
    <xf numFmtId="0" fontId="2" fillId="0" borderId="0" xfId="27">
      <alignment/>
      <protection/>
    </xf>
    <xf numFmtId="0" fontId="31" fillId="0" borderId="0" xfId="27" applyFont="1" applyAlignment="1">
      <alignment/>
      <protection/>
    </xf>
    <xf numFmtId="14" fontId="2" fillId="0" borderId="0" xfId="27" applyNumberFormat="1" applyFont="1" applyAlignment="1">
      <alignment horizontal="left"/>
      <protection/>
    </xf>
    <xf numFmtId="0" fontId="10" fillId="0" borderId="0" xfId="28" applyFont="1" applyAlignment="1">
      <alignment/>
      <protection/>
    </xf>
    <xf numFmtId="0" fontId="7" fillId="0" borderId="0" xfId="28" applyFont="1" applyFill="1">
      <alignment/>
      <protection/>
    </xf>
    <xf numFmtId="0" fontId="10" fillId="0" borderId="0" xfId="28" applyFont="1" applyAlignment="1">
      <alignment horizontal="right"/>
      <protection/>
    </xf>
    <xf numFmtId="0" fontId="2" fillId="0" borderId="0" xfId="28" applyFont="1">
      <alignment/>
      <protection/>
    </xf>
    <xf numFmtId="0" fontId="45" fillId="0" borderId="0" xfId="28" applyFont="1">
      <alignment/>
      <protection/>
    </xf>
    <xf numFmtId="0" fontId="2" fillId="0" borderId="0" xfId="28" applyFont="1" applyFill="1">
      <alignment/>
      <protection/>
    </xf>
    <xf numFmtId="0" fontId="2" fillId="0" borderId="0" xfId="28" applyFont="1" applyAlignment="1">
      <alignment horizontal="center"/>
      <protection/>
    </xf>
    <xf numFmtId="0" fontId="2" fillId="0" borderId="0" xfId="28" applyFont="1" applyAlignment="1">
      <alignment horizontal="right"/>
      <protection/>
    </xf>
    <xf numFmtId="0" fontId="4" fillId="0" borderId="1" xfId="28" applyFont="1" applyBorder="1" applyAlignment="1">
      <alignment horizontal="center" vertical="top" wrapText="1"/>
      <protection/>
    </xf>
    <xf numFmtId="0" fontId="4" fillId="0" borderId="16" xfId="28" applyFont="1" applyBorder="1" applyAlignment="1">
      <alignment horizontal="center" vertical="top" wrapText="1"/>
      <protection/>
    </xf>
    <xf numFmtId="0" fontId="2" fillId="0" borderId="1" xfId="28" applyFont="1" applyBorder="1" applyAlignment="1">
      <alignment horizontal="center" vertical="top"/>
      <protection/>
    </xf>
    <xf numFmtId="0" fontId="2" fillId="0" borderId="1" xfId="28" applyFont="1" applyBorder="1" applyAlignment="1">
      <alignment horizontal="center" vertical="top" wrapText="1"/>
      <protection/>
    </xf>
    <xf numFmtId="0" fontId="2" fillId="0" borderId="1" xfId="28" applyFont="1" applyFill="1" applyBorder="1" applyAlignment="1">
      <alignment horizontal="center" vertical="top" wrapText="1"/>
      <protection/>
    </xf>
    <xf numFmtId="0" fontId="2" fillId="0" borderId="0" xfId="28" applyFont="1" applyAlignment="1">
      <alignment vertical="top"/>
      <protection/>
    </xf>
    <xf numFmtId="0" fontId="2" fillId="0" borderId="1" xfId="28" applyFont="1" applyBorder="1" applyAlignment="1">
      <alignment horizontal="center"/>
      <protection/>
    </xf>
    <xf numFmtId="0" fontId="2" fillId="0" borderId="16" xfId="28" applyFont="1" applyBorder="1" applyAlignment="1">
      <alignment horizontal="center"/>
      <protection/>
    </xf>
    <xf numFmtId="0" fontId="31" fillId="0" borderId="1" xfId="28" applyFont="1" applyBorder="1" applyAlignment="1">
      <alignment horizontal="center"/>
      <protection/>
    </xf>
    <xf numFmtId="0" fontId="31" fillId="0" borderId="1" xfId="28" applyFont="1" applyFill="1" applyBorder="1" applyAlignment="1">
      <alignment horizontal="center"/>
      <protection/>
    </xf>
    <xf numFmtId="0" fontId="48" fillId="0" borderId="1" xfId="28" applyFont="1" applyBorder="1" applyAlignment="1">
      <alignment horizontal="center"/>
      <protection/>
    </xf>
    <xf numFmtId="0" fontId="31" fillId="0" borderId="16" xfId="28" applyFont="1" applyBorder="1" applyAlignment="1">
      <alignment horizontal="center"/>
      <protection/>
    </xf>
    <xf numFmtId="0" fontId="2" fillId="0" borderId="1" xfId="28" applyFont="1" applyFill="1" applyBorder="1" applyAlignment="1">
      <alignment vertical="center"/>
      <protection/>
    </xf>
    <xf numFmtId="4" fontId="2" fillId="0" borderId="1" xfId="28" applyNumberFormat="1" applyFont="1" applyBorder="1">
      <alignment/>
      <protection/>
    </xf>
    <xf numFmtId="0" fontId="48" fillId="0" borderId="17" xfId="28" applyFont="1" applyBorder="1" applyAlignment="1">
      <alignment horizontal="center"/>
      <protection/>
    </xf>
    <xf numFmtId="0" fontId="31" fillId="0" borderId="51" xfId="28" applyFont="1" applyBorder="1" applyAlignment="1">
      <alignment horizontal="center"/>
      <protection/>
    </xf>
    <xf numFmtId="0" fontId="2" fillId="0" borderId="17" xfId="28" applyFont="1" applyFill="1" applyBorder="1">
      <alignment/>
      <protection/>
    </xf>
    <xf numFmtId="4" fontId="2" fillId="0" borderId="17" xfId="28" applyNumberFormat="1" applyFont="1" applyBorder="1">
      <alignment/>
      <protection/>
    </xf>
    <xf numFmtId="4" fontId="2" fillId="0" borderId="18" xfId="28" applyNumberFormat="1" applyFont="1" applyBorder="1">
      <alignment/>
      <protection/>
    </xf>
    <xf numFmtId="3" fontId="31" fillId="0" borderId="51" xfId="28" applyNumberFormat="1" applyFont="1" applyBorder="1" applyAlignment="1">
      <alignment horizontal="center"/>
      <protection/>
    </xf>
    <xf numFmtId="0" fontId="2" fillId="0" borderId="17" xfId="28" applyFont="1" applyFill="1" applyBorder="1" applyAlignment="1">
      <alignment vertical="top" wrapText="1"/>
      <protection/>
    </xf>
    <xf numFmtId="0" fontId="2" fillId="0" borderId="17" xfId="28" applyFont="1" applyFill="1" applyBorder="1" applyAlignment="1">
      <alignment wrapText="1"/>
      <protection/>
    </xf>
    <xf numFmtId="0" fontId="2" fillId="0" borderId="52" xfId="28" applyFont="1" applyFill="1" applyBorder="1">
      <alignment/>
      <protection/>
    </xf>
    <xf numFmtId="4" fontId="2" fillId="0" borderId="52" xfId="28" applyNumberFormat="1" applyFont="1" applyBorder="1">
      <alignment/>
      <protection/>
    </xf>
    <xf numFmtId="0" fontId="2" fillId="0" borderId="1" xfId="28" applyFont="1" applyFill="1" applyBorder="1" applyAlignment="1">
      <alignment vertical="center" wrapText="1"/>
      <protection/>
    </xf>
    <xf numFmtId="0" fontId="7" fillId="0" borderId="17" xfId="28" applyFont="1" applyBorder="1" applyAlignment="1">
      <alignment horizontal="center"/>
      <protection/>
    </xf>
    <xf numFmtId="0" fontId="2" fillId="0" borderId="51" xfId="28" applyFont="1" applyBorder="1" applyAlignment="1">
      <alignment horizontal="center"/>
      <protection/>
    </xf>
    <xf numFmtId="0" fontId="2" fillId="0" borderId="1" xfId="28" applyFont="1" applyBorder="1">
      <alignment/>
      <protection/>
    </xf>
    <xf numFmtId="0" fontId="2" fillId="0" borderId="52" xfId="28" applyFont="1" applyFill="1" applyBorder="1" applyAlignment="1">
      <alignment vertical="center" wrapText="1"/>
      <protection/>
    </xf>
    <xf numFmtId="0" fontId="2" fillId="0" borderId="0" xfId="28" applyFont="1" applyBorder="1">
      <alignment/>
      <protection/>
    </xf>
    <xf numFmtId="0" fontId="2" fillId="0" borderId="0" xfId="28" applyFont="1" applyBorder="1" applyAlignment="1">
      <alignment horizontal="center"/>
      <protection/>
    </xf>
    <xf numFmtId="0" fontId="2" fillId="0" borderId="0" xfId="28" applyFont="1" applyFill="1" applyBorder="1" applyAlignment="1">
      <alignment vertical="center" wrapText="1"/>
      <protection/>
    </xf>
    <xf numFmtId="0" fontId="31" fillId="0" borderId="0" xfId="28" applyFont="1">
      <alignment/>
      <protection/>
    </xf>
    <xf numFmtId="0" fontId="49" fillId="0" borderId="0" xfId="28" applyFont="1" applyAlignment="1">
      <alignment horizontal="left"/>
      <protection/>
    </xf>
    <xf numFmtId="0" fontId="31" fillId="0" borderId="0" xfId="28" applyFont="1" applyFill="1">
      <alignment/>
      <protection/>
    </xf>
    <xf numFmtId="0" fontId="31" fillId="0" borderId="0" xfId="28" applyFont="1">
      <alignment/>
      <protection/>
    </xf>
    <xf numFmtId="0" fontId="2" fillId="0" borderId="0" xfId="28">
      <alignment/>
      <protection/>
    </xf>
    <xf numFmtId="0" fontId="31" fillId="0" borderId="0" xfId="28" applyFont="1" applyAlignment="1">
      <alignment/>
      <protection/>
    </xf>
    <xf numFmtId="14" fontId="2" fillId="0" borderId="0" xfId="28" applyNumberFormat="1" applyFont="1" applyAlignment="1">
      <alignment horizontal="left"/>
      <protection/>
    </xf>
    <xf numFmtId="0" fontId="10" fillId="0" borderId="0" xfId="29" applyFont="1" applyAlignment="1">
      <alignment/>
      <protection/>
    </xf>
    <xf numFmtId="0" fontId="7" fillId="0" borderId="0" xfId="29" applyFont="1" applyFill="1">
      <alignment/>
      <protection/>
    </xf>
    <xf numFmtId="0" fontId="10" fillId="0" borderId="0" xfId="29" applyFont="1" applyAlignment="1">
      <alignment horizontal="right"/>
      <protection/>
    </xf>
    <xf numFmtId="0" fontId="2" fillId="0" borderId="0" xfId="29" applyFont="1">
      <alignment/>
      <protection/>
    </xf>
    <xf numFmtId="0" fontId="45" fillId="0" borderId="0" xfId="29" applyFont="1">
      <alignment/>
      <protection/>
    </xf>
    <xf numFmtId="0" fontId="2" fillId="0" borderId="0" xfId="29" applyFont="1" applyFill="1">
      <alignment/>
      <protection/>
    </xf>
    <xf numFmtId="0" fontId="2" fillId="0" borderId="0" xfId="29" applyFont="1" applyAlignment="1">
      <alignment horizontal="center"/>
      <protection/>
    </xf>
    <xf numFmtId="0" fontId="2" fillId="0" borderId="0" xfId="29" applyFont="1" applyAlignment="1">
      <alignment horizontal="right"/>
      <protection/>
    </xf>
    <xf numFmtId="0" fontId="4" fillId="0" borderId="1" xfId="29" applyFont="1" applyBorder="1" applyAlignment="1">
      <alignment horizontal="center" vertical="top" wrapText="1"/>
      <protection/>
    </xf>
    <xf numFmtId="0" fontId="4" fillId="0" borderId="16" xfId="29" applyFont="1" applyBorder="1" applyAlignment="1">
      <alignment horizontal="center" vertical="top" wrapText="1"/>
      <protection/>
    </xf>
    <xf numFmtId="0" fontId="2" fillId="0" borderId="1" xfId="29" applyFont="1" applyBorder="1" applyAlignment="1">
      <alignment horizontal="center" vertical="top"/>
      <protection/>
    </xf>
    <xf numFmtId="0" fontId="2" fillId="0" borderId="1" xfId="29" applyFont="1" applyBorder="1" applyAlignment="1">
      <alignment horizontal="center" vertical="top" wrapText="1"/>
      <protection/>
    </xf>
    <xf numFmtId="0" fontId="2" fillId="0" borderId="1" xfId="29" applyFont="1" applyFill="1" applyBorder="1" applyAlignment="1">
      <alignment horizontal="center" vertical="top" wrapText="1"/>
      <protection/>
    </xf>
    <xf numFmtId="0" fontId="2" fillId="0" borderId="0" xfId="29" applyFont="1" applyAlignment="1">
      <alignment vertical="top"/>
      <protection/>
    </xf>
    <xf numFmtId="0" fontId="2" fillId="0" borderId="1" xfId="29" applyFont="1" applyBorder="1" applyAlignment="1">
      <alignment horizontal="center"/>
      <protection/>
    </xf>
    <xf numFmtId="0" fontId="2" fillId="0" borderId="16" xfId="29" applyFont="1" applyBorder="1" applyAlignment="1">
      <alignment horizontal="center"/>
      <protection/>
    </xf>
    <xf numFmtId="0" fontId="31" fillId="0" borderId="1" xfId="29" applyFont="1" applyBorder="1" applyAlignment="1">
      <alignment horizontal="center"/>
      <protection/>
    </xf>
    <xf numFmtId="0" fontId="31" fillId="0" borderId="1" xfId="29" applyFont="1" applyFill="1" applyBorder="1" applyAlignment="1">
      <alignment horizontal="center"/>
      <protection/>
    </xf>
    <xf numFmtId="0" fontId="48" fillId="0" borderId="1" xfId="29" applyFont="1" applyBorder="1" applyAlignment="1">
      <alignment horizontal="center"/>
      <protection/>
    </xf>
    <xf numFmtId="0" fontId="31" fillId="0" borderId="16" xfId="29" applyFont="1" applyBorder="1" applyAlignment="1">
      <alignment horizontal="center"/>
      <protection/>
    </xf>
    <xf numFmtId="0" fontId="2" fillId="0" borderId="1" xfId="29" applyFont="1" applyFill="1" applyBorder="1" applyAlignment="1">
      <alignment vertical="center"/>
      <protection/>
    </xf>
    <xf numFmtId="4" fontId="2" fillId="0" borderId="1" xfId="29" applyNumberFormat="1" applyFont="1" applyBorder="1">
      <alignment/>
      <protection/>
    </xf>
    <xf numFmtId="0" fontId="48" fillId="0" borderId="17" xfId="29" applyFont="1" applyBorder="1" applyAlignment="1">
      <alignment horizontal="center"/>
      <protection/>
    </xf>
    <xf numFmtId="0" fontId="31" fillId="0" borderId="51" xfId="29" applyFont="1" applyBorder="1" applyAlignment="1">
      <alignment horizontal="center"/>
      <protection/>
    </xf>
    <xf numFmtId="0" fontId="2" fillId="0" borderId="17" xfId="29" applyFont="1" applyFill="1" applyBorder="1">
      <alignment/>
      <protection/>
    </xf>
    <xf numFmtId="4" fontId="2" fillId="0" borderId="17" xfId="29" applyNumberFormat="1" applyFont="1" applyBorder="1">
      <alignment/>
      <protection/>
    </xf>
    <xf numFmtId="4" fontId="2" fillId="0" borderId="18" xfId="29" applyNumberFormat="1" applyFont="1" applyBorder="1">
      <alignment/>
      <protection/>
    </xf>
    <xf numFmtId="3" fontId="31" fillId="0" borderId="51" xfId="29" applyNumberFormat="1" applyFont="1" applyBorder="1" applyAlignment="1">
      <alignment horizontal="center"/>
      <protection/>
    </xf>
    <xf numFmtId="0" fontId="2" fillId="0" borderId="17" xfId="29" applyFont="1" applyFill="1" applyBorder="1" applyAlignment="1">
      <alignment vertical="top" wrapText="1"/>
      <protection/>
    </xf>
    <xf numFmtId="0" fontId="2" fillId="0" borderId="17" xfId="29" applyFont="1" applyFill="1" applyBorder="1" applyAlignment="1">
      <alignment wrapText="1"/>
      <protection/>
    </xf>
    <xf numFmtId="0" fontId="2" fillId="0" borderId="52" xfId="29" applyFont="1" applyFill="1" applyBorder="1">
      <alignment/>
      <protection/>
    </xf>
    <xf numFmtId="4" fontId="2" fillId="0" borderId="52" xfId="29" applyNumberFormat="1" applyFont="1" applyBorder="1">
      <alignment/>
      <protection/>
    </xf>
    <xf numFmtId="0" fontId="2" fillId="0" borderId="1" xfId="29" applyFont="1" applyFill="1" applyBorder="1" applyAlignment="1">
      <alignment vertical="center" wrapText="1"/>
      <protection/>
    </xf>
    <xf numFmtId="0" fontId="7" fillId="0" borderId="17" xfId="29" applyFont="1" applyBorder="1" applyAlignment="1">
      <alignment horizontal="center"/>
      <protection/>
    </xf>
    <xf numFmtId="0" fontId="2" fillId="0" borderId="51" xfId="29" applyFont="1" applyBorder="1" applyAlignment="1">
      <alignment horizontal="center"/>
      <protection/>
    </xf>
    <xf numFmtId="0" fontId="2" fillId="0" borderId="1" xfId="29" applyFont="1" applyBorder="1">
      <alignment/>
      <protection/>
    </xf>
    <xf numFmtId="0" fontId="2" fillId="0" borderId="52" xfId="29" applyFont="1" applyFill="1" applyBorder="1" applyAlignment="1">
      <alignment vertical="center" wrapText="1"/>
      <protection/>
    </xf>
    <xf numFmtId="0" fontId="2" fillId="0" borderId="0" xfId="29" applyFont="1" applyBorder="1">
      <alignment/>
      <protection/>
    </xf>
    <xf numFmtId="0" fontId="2" fillId="0" borderId="0" xfId="29" applyFont="1" applyBorder="1" applyAlignment="1">
      <alignment horizontal="center"/>
      <protection/>
    </xf>
    <xf numFmtId="0" fontId="2" fillId="0" borderId="0" xfId="29" applyFont="1" applyFill="1" applyBorder="1" applyAlignment="1">
      <alignment vertical="center" wrapText="1"/>
      <protection/>
    </xf>
    <xf numFmtId="0" fontId="31" fillId="0" borderId="0" xfId="29" applyFont="1">
      <alignment/>
      <protection/>
    </xf>
    <xf numFmtId="0" fontId="49" fillId="0" borderId="0" xfId="29" applyFont="1" applyAlignment="1">
      <alignment horizontal="left"/>
      <protection/>
    </xf>
    <xf numFmtId="0" fontId="31" fillId="0" borderId="0" xfId="29" applyFont="1" applyFill="1">
      <alignment/>
      <protection/>
    </xf>
    <xf numFmtId="0" fontId="31" fillId="0" borderId="0" xfId="29" applyFont="1">
      <alignment/>
      <protection/>
    </xf>
    <xf numFmtId="0" fontId="2" fillId="0" borderId="0" xfId="29">
      <alignment/>
      <protection/>
    </xf>
    <xf numFmtId="0" fontId="31" fillId="0" borderId="0" xfId="29" applyFont="1" applyAlignment="1">
      <alignment/>
      <protection/>
    </xf>
    <xf numFmtId="14" fontId="2" fillId="0" borderId="0" xfId="29" applyNumberFormat="1" applyFont="1" applyAlignment="1">
      <alignment horizontal="left"/>
      <protection/>
    </xf>
    <xf numFmtId="0" fontId="10" fillId="0" borderId="0" xfId="30" applyFont="1" applyAlignment="1">
      <alignment/>
      <protection/>
    </xf>
    <xf numFmtId="0" fontId="7" fillId="0" borderId="0" xfId="30" applyFont="1" applyFill="1">
      <alignment/>
      <protection/>
    </xf>
    <xf numFmtId="0" fontId="10" fillId="0" borderId="0" xfId="30" applyFont="1" applyAlignment="1">
      <alignment horizontal="right"/>
      <protection/>
    </xf>
    <xf numFmtId="0" fontId="2" fillId="0" borderId="0" xfId="30" applyFont="1">
      <alignment/>
      <protection/>
    </xf>
    <xf numFmtId="0" fontId="45" fillId="0" borderId="0" xfId="30" applyFont="1">
      <alignment/>
      <protection/>
    </xf>
    <xf numFmtId="0" fontId="2" fillId="0" borderId="0" xfId="30" applyFont="1" applyFill="1">
      <alignment/>
      <protection/>
    </xf>
    <xf numFmtId="0" fontId="2" fillId="0" borderId="0" xfId="30" applyFont="1" applyAlignment="1">
      <alignment horizontal="center"/>
      <protection/>
    </xf>
    <xf numFmtId="0" fontId="2" fillId="0" borderId="0" xfId="30" applyFont="1" applyAlignment="1">
      <alignment horizontal="right"/>
      <protection/>
    </xf>
    <xf numFmtId="0" fontId="4" fillId="0" borderId="1" xfId="30" applyFont="1" applyBorder="1" applyAlignment="1">
      <alignment horizontal="center" vertical="top" wrapText="1"/>
      <protection/>
    </xf>
    <xf numFmtId="0" fontId="4" fillId="0" borderId="16" xfId="30" applyFont="1" applyBorder="1" applyAlignment="1">
      <alignment horizontal="center" vertical="top" wrapText="1"/>
      <protection/>
    </xf>
    <xf numFmtId="0" fontId="2" fillId="0" borderId="1" xfId="30" applyFont="1" applyBorder="1" applyAlignment="1">
      <alignment horizontal="center" vertical="top"/>
      <protection/>
    </xf>
    <xf numFmtId="0" fontId="2" fillId="0" borderId="1" xfId="30" applyFont="1" applyBorder="1" applyAlignment="1">
      <alignment horizontal="center" vertical="top" wrapText="1"/>
      <protection/>
    </xf>
    <xf numFmtId="0" fontId="2" fillId="0" borderId="1" xfId="30" applyFont="1" applyFill="1" applyBorder="1" applyAlignment="1">
      <alignment horizontal="center" vertical="top" wrapText="1"/>
      <protection/>
    </xf>
    <xf numFmtId="0" fontId="2" fillId="0" borderId="0" xfId="30" applyFont="1" applyAlignment="1">
      <alignment vertical="top"/>
      <protection/>
    </xf>
    <xf numFmtId="0" fontId="2" fillId="0" borderId="1" xfId="30" applyFont="1" applyBorder="1" applyAlignment="1">
      <alignment horizontal="center"/>
      <protection/>
    </xf>
    <xf numFmtId="0" fontId="2" fillId="0" borderId="16" xfId="30" applyFont="1" applyBorder="1" applyAlignment="1">
      <alignment horizontal="center"/>
      <protection/>
    </xf>
    <xf numFmtId="0" fontId="31" fillId="0" borderId="1" xfId="30" applyFont="1" applyBorder="1" applyAlignment="1">
      <alignment horizontal="center"/>
      <protection/>
    </xf>
    <xf numFmtId="0" fontId="31" fillId="0" borderId="1" xfId="30" applyFont="1" applyFill="1" applyBorder="1" applyAlignment="1">
      <alignment horizontal="center"/>
      <protection/>
    </xf>
    <xf numFmtId="0" fontId="48" fillId="0" borderId="1" xfId="30" applyFont="1" applyBorder="1" applyAlignment="1">
      <alignment horizontal="center"/>
      <protection/>
    </xf>
    <xf numFmtId="0" fontId="31" fillId="0" borderId="16" xfId="30" applyFont="1" applyBorder="1" applyAlignment="1">
      <alignment horizontal="center"/>
      <protection/>
    </xf>
    <xf numFmtId="0" fontId="2" fillId="0" borderId="1" xfId="30" applyFont="1" applyFill="1" applyBorder="1" applyAlignment="1">
      <alignment vertical="center"/>
      <protection/>
    </xf>
    <xf numFmtId="4" fontId="2" fillId="0" borderId="1" xfId="30" applyNumberFormat="1" applyFont="1" applyBorder="1">
      <alignment/>
      <protection/>
    </xf>
    <xf numFmtId="0" fontId="48" fillId="0" borderId="17" xfId="30" applyFont="1" applyBorder="1" applyAlignment="1">
      <alignment horizontal="center"/>
      <protection/>
    </xf>
    <xf numFmtId="0" fontId="31" fillId="0" borderId="51" xfId="30" applyFont="1" applyBorder="1" applyAlignment="1">
      <alignment horizontal="center"/>
      <protection/>
    </xf>
    <xf numFmtId="0" fontId="2" fillId="0" borderId="17" xfId="30" applyFont="1" applyFill="1" applyBorder="1">
      <alignment/>
      <protection/>
    </xf>
    <xf numFmtId="4" fontId="2" fillId="0" borderId="17" xfId="30" applyNumberFormat="1" applyFont="1" applyBorder="1">
      <alignment/>
      <protection/>
    </xf>
    <xf numFmtId="4" fontId="2" fillId="0" borderId="18" xfId="30" applyNumberFormat="1" applyFont="1" applyBorder="1">
      <alignment/>
      <protection/>
    </xf>
    <xf numFmtId="3" fontId="31" fillId="0" borderId="51" xfId="30" applyNumberFormat="1" applyFont="1" applyBorder="1" applyAlignment="1">
      <alignment horizontal="center"/>
      <protection/>
    </xf>
    <xf numFmtId="0" fontId="2" fillId="0" borderId="17" xfId="30" applyFont="1" applyFill="1" applyBorder="1" applyAlignment="1">
      <alignment vertical="top" wrapText="1"/>
      <protection/>
    </xf>
    <xf numFmtId="0" fontId="2" fillId="0" borderId="17" xfId="30" applyFont="1" applyFill="1" applyBorder="1" applyAlignment="1">
      <alignment wrapText="1"/>
      <protection/>
    </xf>
    <xf numFmtId="0" fontId="2" fillId="0" borderId="52" xfId="30" applyFont="1" applyFill="1" applyBorder="1">
      <alignment/>
      <protection/>
    </xf>
    <xf numFmtId="4" fontId="2" fillId="0" borderId="52" xfId="30" applyNumberFormat="1" applyFont="1" applyBorder="1">
      <alignment/>
      <protection/>
    </xf>
    <xf numFmtId="0" fontId="2" fillId="0" borderId="1" xfId="30" applyFont="1" applyFill="1" applyBorder="1" applyAlignment="1">
      <alignment vertical="center" wrapText="1"/>
      <protection/>
    </xf>
    <xf numFmtId="0" fontId="7" fillId="0" borderId="17" xfId="30" applyFont="1" applyBorder="1" applyAlignment="1">
      <alignment horizontal="center"/>
      <protection/>
    </xf>
    <xf numFmtId="0" fontId="2" fillId="0" borderId="51" xfId="30" applyFont="1" applyBorder="1" applyAlignment="1">
      <alignment horizontal="center"/>
      <protection/>
    </xf>
    <xf numFmtId="0" fontId="2" fillId="0" borderId="1" xfId="30" applyFont="1" applyBorder="1">
      <alignment/>
      <protection/>
    </xf>
    <xf numFmtId="0" fontId="2" fillId="0" borderId="52" xfId="30" applyFont="1" applyFill="1" applyBorder="1" applyAlignment="1">
      <alignment vertical="center" wrapText="1"/>
      <protection/>
    </xf>
    <xf numFmtId="0" fontId="2" fillId="0" borderId="0" xfId="30" applyFont="1" applyBorder="1">
      <alignment/>
      <protection/>
    </xf>
    <xf numFmtId="0" fontId="2" fillId="0" borderId="0" xfId="30" applyFont="1" applyBorder="1" applyAlignment="1">
      <alignment horizontal="center"/>
      <protection/>
    </xf>
    <xf numFmtId="0" fontId="2" fillId="0" borderId="0" xfId="30" applyFont="1" applyFill="1" applyBorder="1" applyAlignment="1">
      <alignment vertical="center" wrapText="1"/>
      <protection/>
    </xf>
    <xf numFmtId="0" fontId="31" fillId="0" borderId="0" xfId="30" applyFont="1">
      <alignment/>
      <protection/>
    </xf>
    <xf numFmtId="0" fontId="49" fillId="0" borderId="0" xfId="30" applyFont="1" applyAlignment="1">
      <alignment horizontal="left"/>
      <protection/>
    </xf>
    <xf numFmtId="0" fontId="31" fillId="0" borderId="0" xfId="30" applyFont="1" applyFill="1">
      <alignment/>
      <protection/>
    </xf>
    <xf numFmtId="0" fontId="31" fillId="0" borderId="0" xfId="30" applyFont="1">
      <alignment/>
      <protection/>
    </xf>
    <xf numFmtId="0" fontId="2" fillId="0" borderId="0" xfId="30">
      <alignment/>
      <protection/>
    </xf>
    <xf numFmtId="0" fontId="31" fillId="0" borderId="0" xfId="30" applyFont="1" applyAlignment="1">
      <alignment/>
      <protection/>
    </xf>
    <xf numFmtId="14" fontId="2" fillId="0" borderId="0" xfId="30" applyNumberFormat="1" applyFont="1" applyAlignment="1">
      <alignment horizontal="left"/>
      <protection/>
    </xf>
    <xf numFmtId="0" fontId="10" fillId="0" borderId="0" xfId="31" applyFont="1" applyAlignment="1">
      <alignment/>
      <protection/>
    </xf>
    <xf numFmtId="0" fontId="7" fillId="0" borderId="0" xfId="31" applyFont="1" applyFill="1">
      <alignment/>
      <protection/>
    </xf>
    <xf numFmtId="0" fontId="10" fillId="0" borderId="0" xfId="31" applyFont="1" applyAlignment="1">
      <alignment horizontal="right"/>
      <protection/>
    </xf>
    <xf numFmtId="0" fontId="2" fillId="0" borderId="0" xfId="31" applyFont="1">
      <alignment/>
      <protection/>
    </xf>
    <xf numFmtId="0" fontId="45" fillId="0" borderId="0" xfId="31" applyFont="1">
      <alignment/>
      <protection/>
    </xf>
    <xf numFmtId="0" fontId="2" fillId="0" borderId="0" xfId="31" applyFont="1" applyFill="1">
      <alignment/>
      <protection/>
    </xf>
    <xf numFmtId="0" fontId="2" fillId="0" borderId="0" xfId="31" applyFont="1" applyAlignment="1">
      <alignment horizontal="center"/>
      <protection/>
    </xf>
    <xf numFmtId="0" fontId="2" fillId="0" borderId="0" xfId="31" applyFont="1" applyAlignment="1">
      <alignment horizontal="right"/>
      <protection/>
    </xf>
    <xf numFmtId="0" fontId="4" fillId="0" borderId="1" xfId="31" applyFont="1" applyBorder="1" applyAlignment="1">
      <alignment horizontal="center" vertical="top" wrapText="1"/>
      <protection/>
    </xf>
    <xf numFmtId="0" fontId="4" fillId="0" borderId="16" xfId="31" applyFont="1" applyBorder="1" applyAlignment="1">
      <alignment horizontal="center" vertical="top" wrapText="1"/>
      <protection/>
    </xf>
    <xf numFmtId="0" fontId="2" fillId="0" borderId="1" xfId="31" applyFont="1" applyBorder="1" applyAlignment="1">
      <alignment horizontal="center" vertical="top"/>
      <protection/>
    </xf>
    <xf numFmtId="0" fontId="2" fillId="0" borderId="1" xfId="31" applyFont="1" applyBorder="1" applyAlignment="1">
      <alignment horizontal="center" vertical="top" wrapText="1"/>
      <protection/>
    </xf>
    <xf numFmtId="0" fontId="2" fillId="0" borderId="1" xfId="31" applyFont="1" applyFill="1" applyBorder="1" applyAlignment="1">
      <alignment horizontal="center" vertical="top" wrapText="1"/>
      <protection/>
    </xf>
    <xf numFmtId="0" fontId="2" fillId="0" borderId="0" xfId="31" applyFont="1" applyAlignment="1">
      <alignment vertical="top"/>
      <protection/>
    </xf>
    <xf numFmtId="0" fontId="2" fillId="0" borderId="1" xfId="31" applyFont="1" applyBorder="1" applyAlignment="1">
      <alignment horizontal="center"/>
      <protection/>
    </xf>
    <xf numFmtId="0" fontId="2" fillId="0" borderId="16" xfId="31" applyFont="1" applyBorder="1" applyAlignment="1">
      <alignment horizontal="center"/>
      <protection/>
    </xf>
    <xf numFmtId="0" fontId="31" fillId="0" borderId="1" xfId="31" applyFont="1" applyBorder="1" applyAlignment="1">
      <alignment horizontal="center"/>
      <protection/>
    </xf>
    <xf numFmtId="0" fontId="31" fillId="0" borderId="1" xfId="31" applyFont="1" applyFill="1" applyBorder="1" applyAlignment="1">
      <alignment horizontal="center"/>
      <protection/>
    </xf>
    <xf numFmtId="0" fontId="48" fillId="0" borderId="1" xfId="31" applyFont="1" applyBorder="1" applyAlignment="1">
      <alignment horizontal="center"/>
      <protection/>
    </xf>
    <xf numFmtId="0" fontId="31" fillId="0" borderId="16" xfId="31" applyFont="1" applyBorder="1" applyAlignment="1">
      <alignment horizontal="center"/>
      <protection/>
    </xf>
    <xf numFmtId="0" fontId="2" fillId="0" borderId="1" xfId="31" applyFont="1" applyFill="1" applyBorder="1" applyAlignment="1">
      <alignment vertical="center"/>
      <protection/>
    </xf>
    <xf numFmtId="4" fontId="2" fillId="0" borderId="1" xfId="31" applyNumberFormat="1" applyFont="1" applyBorder="1">
      <alignment/>
      <protection/>
    </xf>
    <xf numFmtId="0" fontId="48" fillId="0" borderId="17" xfId="31" applyFont="1" applyBorder="1" applyAlignment="1">
      <alignment horizontal="center"/>
      <protection/>
    </xf>
    <xf numFmtId="0" fontId="31" fillId="0" borderId="51" xfId="31" applyFont="1" applyBorder="1" applyAlignment="1">
      <alignment horizontal="center"/>
      <protection/>
    </xf>
    <xf numFmtId="0" fontId="2" fillId="0" borderId="17" xfId="31" applyFont="1" applyFill="1" applyBorder="1">
      <alignment/>
      <protection/>
    </xf>
    <xf numFmtId="4" fontId="2" fillId="0" borderId="17" xfId="31" applyNumberFormat="1" applyFont="1" applyBorder="1">
      <alignment/>
      <protection/>
    </xf>
    <xf numFmtId="4" fontId="2" fillId="0" borderId="18" xfId="31" applyNumberFormat="1" applyFont="1" applyBorder="1">
      <alignment/>
      <protection/>
    </xf>
    <xf numFmtId="3" fontId="31" fillId="0" borderId="51" xfId="31" applyNumberFormat="1" applyFont="1" applyBorder="1" applyAlignment="1">
      <alignment horizontal="center"/>
      <protection/>
    </xf>
    <xf numFmtId="0" fontId="2" fillId="0" borderId="17" xfId="31" applyFont="1" applyFill="1" applyBorder="1" applyAlignment="1">
      <alignment vertical="top" wrapText="1"/>
      <protection/>
    </xf>
    <xf numFmtId="0" fontId="2" fillId="0" borderId="17" xfId="31" applyFont="1" applyFill="1" applyBorder="1" applyAlignment="1">
      <alignment wrapText="1"/>
      <protection/>
    </xf>
    <xf numFmtId="0" fontId="2" fillId="0" borderId="52" xfId="31" applyFont="1" applyFill="1" applyBorder="1">
      <alignment/>
      <protection/>
    </xf>
    <xf numFmtId="4" fontId="2" fillId="0" borderId="52" xfId="31" applyNumberFormat="1" applyFont="1" applyBorder="1">
      <alignment/>
      <protection/>
    </xf>
    <xf numFmtId="0" fontId="2" fillId="0" borderId="1" xfId="31" applyFont="1" applyFill="1" applyBorder="1" applyAlignment="1">
      <alignment vertical="center" wrapText="1"/>
      <protection/>
    </xf>
    <xf numFmtId="0" fontId="7" fillId="0" borderId="17" xfId="31" applyFont="1" applyBorder="1" applyAlignment="1">
      <alignment horizontal="center"/>
      <protection/>
    </xf>
    <xf numFmtId="0" fontId="2" fillId="0" borderId="51" xfId="31" applyFont="1" applyBorder="1" applyAlignment="1">
      <alignment horizontal="center"/>
      <protection/>
    </xf>
    <xf numFmtId="0" fontId="2" fillId="0" borderId="1" xfId="31" applyFont="1" applyBorder="1">
      <alignment/>
      <protection/>
    </xf>
    <xf numFmtId="0" fontId="2" fillId="0" borderId="52" xfId="31" applyFont="1" applyFill="1" applyBorder="1" applyAlignment="1">
      <alignment vertical="center" wrapText="1"/>
      <protection/>
    </xf>
    <xf numFmtId="0" fontId="2" fillId="0" borderId="0" xfId="31" applyFont="1" applyBorder="1">
      <alignment/>
      <protection/>
    </xf>
    <xf numFmtId="0" fontId="2" fillId="0" borderId="0" xfId="31" applyFont="1" applyBorder="1" applyAlignment="1">
      <alignment horizontal="center"/>
      <protection/>
    </xf>
    <xf numFmtId="0" fontId="2" fillId="0" borderId="0" xfId="31" applyFont="1" applyFill="1" applyBorder="1" applyAlignment="1">
      <alignment vertical="center" wrapText="1"/>
      <protection/>
    </xf>
    <xf numFmtId="0" fontId="31" fillId="0" borderId="0" xfId="31" applyFont="1">
      <alignment/>
      <protection/>
    </xf>
    <xf numFmtId="0" fontId="49" fillId="0" borderId="0" xfId="31" applyFont="1" applyAlignment="1">
      <alignment horizontal="left"/>
      <protection/>
    </xf>
    <xf numFmtId="0" fontId="31" fillId="0" borderId="0" xfId="31" applyFont="1" applyFill="1">
      <alignment/>
      <protection/>
    </xf>
    <xf numFmtId="0" fontId="31" fillId="0" borderId="0" xfId="31" applyFont="1">
      <alignment/>
      <protection/>
    </xf>
    <xf numFmtId="0" fontId="2" fillId="0" borderId="0" xfId="31">
      <alignment/>
      <protection/>
    </xf>
    <xf numFmtId="0" fontId="31" fillId="0" borderId="0" xfId="31" applyFont="1" applyAlignment="1">
      <alignment/>
      <protection/>
    </xf>
    <xf numFmtId="14" fontId="2" fillId="0" borderId="0" xfId="31" applyNumberFormat="1" applyFont="1" applyAlignment="1">
      <alignment horizontal="left"/>
      <protection/>
    </xf>
    <xf numFmtId="0" fontId="10" fillId="0" borderId="0" xfId="32" applyFont="1" applyAlignment="1">
      <alignment horizontal="left" shrinkToFit="1"/>
      <protection/>
    </xf>
    <xf numFmtId="0" fontId="2" fillId="0" borderId="0" xfId="32" applyFont="1">
      <alignment/>
      <protection/>
    </xf>
    <xf numFmtId="0" fontId="10" fillId="0" borderId="0" xfId="32" applyFont="1">
      <alignment/>
      <protection/>
    </xf>
    <xf numFmtId="0" fontId="2" fillId="0" borderId="0" xfId="32" applyFont="1" applyFill="1" applyAlignment="1">
      <alignment/>
      <protection/>
    </xf>
    <xf numFmtId="0" fontId="2" fillId="0" borderId="0" xfId="32" applyFont="1" applyFill="1" applyAlignment="1">
      <alignment horizontal="right"/>
      <protection/>
    </xf>
    <xf numFmtId="0" fontId="2" fillId="0" borderId="0" xfId="32" applyFont="1">
      <alignment/>
      <protection/>
    </xf>
    <xf numFmtId="0" fontId="2" fillId="0" borderId="0" xfId="32" applyFont="1" applyAlignment="1">
      <alignment horizontal="right"/>
      <protection/>
    </xf>
    <xf numFmtId="0" fontId="2" fillId="0" borderId="1" xfId="32" applyFont="1" applyBorder="1" applyAlignment="1">
      <alignment horizontal="center" vertical="top"/>
      <protection/>
    </xf>
    <xf numFmtId="0" fontId="2" fillId="0" borderId="1" xfId="32" applyFont="1" applyBorder="1" applyAlignment="1">
      <alignment horizontal="center" vertical="top" wrapText="1"/>
      <protection/>
    </xf>
    <xf numFmtId="0" fontId="2" fillId="0" borderId="1" xfId="32" applyFont="1" applyFill="1" applyBorder="1" applyAlignment="1">
      <alignment horizontal="center" vertical="top" wrapText="1"/>
      <protection/>
    </xf>
    <xf numFmtId="0" fontId="2" fillId="0" borderId="18" xfId="32" applyFont="1" applyFill="1" applyBorder="1" applyAlignment="1">
      <alignment horizontal="center" vertical="top" wrapText="1"/>
      <protection/>
    </xf>
    <xf numFmtId="0" fontId="31" fillId="0" borderId="1" xfId="32" applyFont="1" applyBorder="1" applyAlignment="1">
      <alignment horizontal="center" vertical="center"/>
      <protection/>
    </xf>
    <xf numFmtId="0" fontId="31" fillId="0" borderId="1" xfId="32" applyFont="1" applyBorder="1" applyAlignment="1">
      <alignment horizontal="center"/>
      <protection/>
    </xf>
    <xf numFmtId="0" fontId="31" fillId="0" borderId="1" xfId="32" applyFont="1" applyFill="1" applyBorder="1" applyAlignment="1">
      <alignment horizontal="center"/>
      <protection/>
    </xf>
    <xf numFmtId="0" fontId="2" fillId="0" borderId="1" xfId="32" applyFont="1" applyFill="1" applyBorder="1" applyAlignment="1">
      <alignment vertical="center"/>
      <protection/>
    </xf>
    <xf numFmtId="4" fontId="2" fillId="0" borderId="1" xfId="32" applyNumberFormat="1" applyFont="1" applyBorder="1">
      <alignment/>
      <protection/>
    </xf>
    <xf numFmtId="4" fontId="2" fillId="0" borderId="1" xfId="32" applyNumberFormat="1" applyFont="1" applyFill="1" applyBorder="1">
      <alignment/>
      <protection/>
    </xf>
    <xf numFmtId="0" fontId="2" fillId="0" borderId="17" xfId="32" applyFont="1" applyFill="1" applyBorder="1">
      <alignment/>
      <protection/>
    </xf>
    <xf numFmtId="4" fontId="2" fillId="0" borderId="17" xfId="32" applyNumberFormat="1" applyFont="1" applyBorder="1">
      <alignment/>
      <protection/>
    </xf>
    <xf numFmtId="4" fontId="2" fillId="0" borderId="17" xfId="32" applyNumberFormat="1" applyFont="1" applyFill="1" applyBorder="1">
      <alignment/>
      <protection/>
    </xf>
    <xf numFmtId="0" fontId="2" fillId="0" borderId="17" xfId="32" applyFont="1" applyFill="1" applyBorder="1" applyAlignment="1">
      <alignment wrapText="1"/>
      <protection/>
    </xf>
    <xf numFmtId="0" fontId="2" fillId="0" borderId="52" xfId="32" applyFont="1" applyFill="1" applyBorder="1" applyAlignment="1">
      <alignment vertical="center"/>
      <protection/>
    </xf>
    <xf numFmtId="4" fontId="2" fillId="0" borderId="52" xfId="32" applyNumberFormat="1" applyFont="1" applyBorder="1">
      <alignment/>
      <protection/>
    </xf>
    <xf numFmtId="4" fontId="2" fillId="0" borderId="52" xfId="32" applyNumberFormat="1" applyFont="1" applyFill="1" applyBorder="1">
      <alignment/>
      <protection/>
    </xf>
    <xf numFmtId="0" fontId="2" fillId="0" borderId="0" xfId="32" applyFont="1" applyFill="1" applyBorder="1" applyAlignment="1">
      <alignment vertical="center"/>
      <protection/>
    </xf>
    <xf numFmtId="0" fontId="2" fillId="0" borderId="0" xfId="32" applyFont="1" applyBorder="1">
      <alignment/>
      <protection/>
    </xf>
    <xf numFmtId="0" fontId="31" fillId="0" borderId="0" xfId="32" applyFont="1">
      <alignment/>
      <protection/>
    </xf>
    <xf numFmtId="0" fontId="2" fillId="0" borderId="0" xfId="32" applyFont="1" applyFill="1">
      <alignment/>
      <protection/>
    </xf>
    <xf numFmtId="0" fontId="4" fillId="0" borderId="0" xfId="32" applyFont="1">
      <alignment/>
      <protection/>
    </xf>
    <xf numFmtId="0" fontId="50" fillId="0" borderId="0" xfId="32" applyFont="1" applyAlignment="1">
      <alignment/>
      <protection/>
    </xf>
    <xf numFmtId="14" fontId="2" fillId="0" borderId="0" xfId="32" applyNumberFormat="1" applyFont="1" applyAlignment="1">
      <alignment horizontal="left"/>
      <protection/>
    </xf>
    <xf numFmtId="0" fontId="52" fillId="0" borderId="0" xfId="36" applyFont="1">
      <alignment/>
      <protection/>
    </xf>
    <xf numFmtId="49" fontId="2" fillId="0" borderId="0" xfId="36" applyNumberFormat="1" applyFont="1" applyBorder="1" applyAlignment="1">
      <alignment horizontal="right"/>
      <protection/>
    </xf>
    <xf numFmtId="1" fontId="54" fillId="0" borderId="0" xfId="36" applyNumberFormat="1" applyFont="1" applyBorder="1">
      <alignment/>
      <protection/>
    </xf>
    <xf numFmtId="49" fontId="52" fillId="0" borderId="0" xfId="36" applyNumberFormat="1" applyFont="1" applyBorder="1">
      <alignment/>
      <protection/>
    </xf>
    <xf numFmtId="4" fontId="52" fillId="0" borderId="0" xfId="36" applyNumberFormat="1" applyFont="1" applyBorder="1" applyAlignment="1">
      <alignment horizontal="right"/>
      <protection/>
    </xf>
    <xf numFmtId="49" fontId="52" fillId="0" borderId="0" xfId="36" applyNumberFormat="1" applyFont="1" applyBorder="1" applyAlignment="1">
      <alignment horizontal="right"/>
      <protection/>
    </xf>
    <xf numFmtId="0" fontId="2" fillId="0" borderId="0" xfId="36">
      <alignment/>
      <protection/>
    </xf>
    <xf numFmtId="49" fontId="52" fillId="0" borderId="62" xfId="36" applyNumberFormat="1" applyFont="1" applyBorder="1">
      <alignment/>
      <protection/>
    </xf>
    <xf numFmtId="49" fontId="52" fillId="0" borderId="63" xfId="36" applyNumberFormat="1" applyFont="1" applyBorder="1">
      <alignment/>
      <protection/>
    </xf>
    <xf numFmtId="0" fontId="52" fillId="0" borderId="18" xfId="36" applyFont="1" applyBorder="1" applyAlignment="1">
      <alignment horizontal="center"/>
      <protection/>
    </xf>
    <xf numFmtId="2" fontId="52" fillId="6" borderId="48" xfId="36" applyNumberFormat="1" applyFont="1" applyFill="1" applyBorder="1" applyAlignment="1">
      <alignment horizontal="center"/>
      <protection/>
    </xf>
    <xf numFmtId="4" fontId="52" fillId="6" borderId="64" xfId="36" applyNumberFormat="1" applyFont="1" applyFill="1" applyBorder="1" applyAlignment="1">
      <alignment horizontal="center"/>
      <protection/>
    </xf>
    <xf numFmtId="0" fontId="52" fillId="0" borderId="0" xfId="36" applyFont="1" applyBorder="1">
      <alignment/>
      <protection/>
    </xf>
    <xf numFmtId="0" fontId="52" fillId="0" borderId="63" xfId="36" applyFont="1" applyBorder="1">
      <alignment/>
      <protection/>
    </xf>
    <xf numFmtId="0" fontId="52" fillId="0" borderId="17" xfId="36" applyFont="1" applyBorder="1" applyAlignment="1">
      <alignment horizontal="center"/>
      <protection/>
    </xf>
    <xf numFmtId="2" fontId="52" fillId="6" borderId="49" xfId="36" applyNumberFormat="1" applyFont="1" applyFill="1" applyBorder="1" applyAlignment="1">
      <alignment horizontal="center"/>
      <protection/>
    </xf>
    <xf numFmtId="4" fontId="52" fillId="6" borderId="51" xfId="36" applyNumberFormat="1" applyFont="1" applyFill="1" applyBorder="1" applyAlignment="1">
      <alignment horizontal="center"/>
      <protection/>
    </xf>
    <xf numFmtId="2" fontId="52" fillId="6" borderId="4" xfId="36" applyNumberFormat="1" applyFont="1" applyFill="1" applyBorder="1" applyAlignment="1">
      <alignment horizontal="center"/>
      <protection/>
    </xf>
    <xf numFmtId="4" fontId="52" fillId="6" borderId="55" xfId="36" applyNumberFormat="1" applyFont="1" applyFill="1" applyBorder="1" applyAlignment="1">
      <alignment horizontal="center"/>
      <protection/>
    </xf>
    <xf numFmtId="0" fontId="52" fillId="0" borderId="18" xfId="36" applyFont="1" applyBorder="1">
      <alignment/>
      <protection/>
    </xf>
    <xf numFmtId="49" fontId="52" fillId="0" borderId="12" xfId="36" applyNumberFormat="1" applyFont="1" applyBorder="1" applyAlignment="1">
      <alignment horizontal="center"/>
      <protection/>
    </xf>
    <xf numFmtId="1" fontId="52" fillId="0" borderId="13" xfId="36" applyNumberFormat="1" applyFont="1" applyBorder="1" applyAlignment="1">
      <alignment horizontal="center"/>
      <protection/>
    </xf>
    <xf numFmtId="49" fontId="52" fillId="0" borderId="13" xfId="36" applyNumberFormat="1" applyFont="1" applyBorder="1" applyAlignment="1">
      <alignment horizontal="center"/>
      <protection/>
    </xf>
    <xf numFmtId="3" fontId="52" fillId="0" borderId="13" xfId="36" applyNumberFormat="1" applyFont="1" applyBorder="1" applyAlignment="1">
      <alignment horizontal="center"/>
      <protection/>
    </xf>
    <xf numFmtId="1" fontId="52" fillId="0" borderId="16" xfId="36" applyNumberFormat="1" applyFont="1" applyBorder="1" applyAlignment="1">
      <alignment horizontal="center"/>
      <protection/>
    </xf>
    <xf numFmtId="1" fontId="52" fillId="0" borderId="65" xfId="36" applyNumberFormat="1" applyFont="1" applyBorder="1" applyAlignment="1">
      <alignment horizontal="left"/>
      <protection/>
    </xf>
    <xf numFmtId="1" fontId="52" fillId="0" borderId="3" xfId="36" applyNumberFormat="1" applyFont="1" applyBorder="1" applyAlignment="1">
      <alignment horizontal="center"/>
      <protection/>
    </xf>
    <xf numFmtId="4" fontId="52" fillId="0" borderId="4" xfId="36" applyNumberFormat="1" applyFont="1" applyBorder="1" applyAlignment="1">
      <alignment horizontal="right"/>
      <protection/>
    </xf>
    <xf numFmtId="4" fontId="52" fillId="0" borderId="4" xfId="36" applyNumberFormat="1" applyFont="1" applyBorder="1" applyAlignment="1">
      <alignment horizontal="center"/>
      <protection/>
    </xf>
    <xf numFmtId="1" fontId="52" fillId="0" borderId="4" xfId="36" applyNumberFormat="1" applyFont="1" applyBorder="1" applyAlignment="1">
      <alignment horizontal="center"/>
      <protection/>
    </xf>
    <xf numFmtId="194" fontId="52" fillId="0" borderId="4" xfId="36" applyNumberFormat="1" applyFont="1" applyBorder="1" applyAlignment="1">
      <alignment horizontal="right"/>
      <protection/>
    </xf>
    <xf numFmtId="4" fontId="52" fillId="0" borderId="55" xfId="36" applyNumberFormat="1" applyFont="1" applyBorder="1" applyAlignment="1">
      <alignment horizontal="center"/>
      <protection/>
    </xf>
    <xf numFmtId="1" fontId="52" fillId="0" borderId="56" xfId="36" applyNumberFormat="1" applyFont="1" applyBorder="1" applyAlignment="1">
      <alignment horizontal="left"/>
      <protection/>
    </xf>
    <xf numFmtId="1" fontId="52" fillId="0" borderId="3" xfId="36" applyNumberFormat="1" applyFont="1" applyBorder="1" applyAlignment="1">
      <alignment horizontal="left"/>
      <protection/>
    </xf>
    <xf numFmtId="4" fontId="52" fillId="0" borderId="55" xfId="36" applyNumberFormat="1" applyFont="1" applyBorder="1" applyAlignment="1">
      <alignment horizontal="right"/>
      <protection/>
    </xf>
    <xf numFmtId="1" fontId="52" fillId="0" borderId="52" xfId="36" applyNumberFormat="1" applyFont="1" applyBorder="1" applyAlignment="1">
      <alignment horizontal="left"/>
      <protection/>
    </xf>
    <xf numFmtId="1" fontId="52" fillId="0" borderId="36" xfId="36" applyNumberFormat="1" applyFont="1" applyBorder="1" applyAlignment="1">
      <alignment horizontal="left"/>
      <protection/>
    </xf>
    <xf numFmtId="0" fontId="54" fillId="0" borderId="1" xfId="36" applyFont="1" applyBorder="1" applyAlignment="1">
      <alignment vertical="center"/>
      <protection/>
    </xf>
    <xf numFmtId="0" fontId="54" fillId="0" borderId="12" xfId="36" applyFont="1" applyBorder="1" applyAlignment="1">
      <alignment vertical="center"/>
      <protection/>
    </xf>
    <xf numFmtId="4" fontId="54" fillId="0" borderId="13" xfId="36" applyNumberFormat="1" applyFont="1" applyBorder="1" applyAlignment="1">
      <alignment horizontal="right" vertical="center"/>
      <protection/>
    </xf>
    <xf numFmtId="4" fontId="54" fillId="0" borderId="16" xfId="36" applyNumberFormat="1" applyFont="1" applyBorder="1" applyAlignment="1">
      <alignment horizontal="right" vertical="center"/>
      <protection/>
    </xf>
    <xf numFmtId="0" fontId="54" fillId="0" borderId="0" xfId="36" applyFont="1">
      <alignment/>
      <protection/>
    </xf>
    <xf numFmtId="0" fontId="54" fillId="0" borderId="0" xfId="36" applyFont="1" applyBorder="1">
      <alignment/>
      <protection/>
    </xf>
    <xf numFmtId="0" fontId="31" fillId="0" borderId="0" xfId="36" applyFont="1">
      <alignment/>
      <protection/>
    </xf>
    <xf numFmtId="0" fontId="2" fillId="0" borderId="0" xfId="36" applyFont="1">
      <alignment/>
      <protection/>
    </xf>
    <xf numFmtId="0" fontId="2" fillId="0" borderId="0" xfId="36" applyFont="1" applyAlignment="1">
      <alignment horizontal="left"/>
      <protection/>
    </xf>
    <xf numFmtId="0" fontId="2" fillId="0" borderId="0" xfId="36" applyFont="1" applyAlignment="1">
      <alignment horizontal="right"/>
      <protection/>
    </xf>
    <xf numFmtId="14" fontId="2" fillId="0" borderId="0" xfId="36" applyNumberFormat="1" applyFont="1">
      <alignment/>
      <protection/>
    </xf>
    <xf numFmtId="0" fontId="52" fillId="0" borderId="0" xfId="37" applyFont="1">
      <alignment/>
      <protection/>
    </xf>
    <xf numFmtId="49" fontId="2" fillId="0" borderId="0" xfId="37" applyNumberFormat="1" applyFont="1" applyBorder="1" applyAlignment="1">
      <alignment horizontal="right"/>
      <protection/>
    </xf>
    <xf numFmtId="1" fontId="54" fillId="0" borderId="0" xfId="37" applyNumberFormat="1" applyFont="1" applyBorder="1">
      <alignment/>
      <protection/>
    </xf>
    <xf numFmtId="49" fontId="52" fillId="0" borderId="0" xfId="37" applyNumberFormat="1" applyFont="1" applyBorder="1">
      <alignment/>
      <protection/>
    </xf>
    <xf numFmtId="49" fontId="52" fillId="0" borderId="0" xfId="37" applyNumberFormat="1" applyFont="1" applyBorder="1" applyAlignment="1">
      <alignment horizontal="right"/>
      <protection/>
    </xf>
    <xf numFmtId="4" fontId="52" fillId="0" borderId="0" xfId="37" applyNumberFormat="1" applyFont="1" applyBorder="1" applyAlignment="1">
      <alignment horizontal="right"/>
      <protection/>
    </xf>
    <xf numFmtId="0" fontId="2" fillId="0" borderId="0" xfId="37">
      <alignment/>
      <protection/>
    </xf>
    <xf numFmtId="49" fontId="52" fillId="0" borderId="62" xfId="37" applyNumberFormat="1" applyFont="1" applyBorder="1">
      <alignment/>
      <protection/>
    </xf>
    <xf numFmtId="49" fontId="52" fillId="0" borderId="63" xfId="37" applyNumberFormat="1" applyFont="1" applyBorder="1">
      <alignment/>
      <protection/>
    </xf>
    <xf numFmtId="0" fontId="52" fillId="0" borderId="18" xfId="37" applyFont="1" applyBorder="1" applyAlignment="1">
      <alignment horizontal="center"/>
      <protection/>
    </xf>
    <xf numFmtId="0" fontId="52" fillId="0" borderId="66" xfId="37" applyFont="1" applyBorder="1" applyAlignment="1">
      <alignment horizontal="center"/>
      <protection/>
    </xf>
    <xf numFmtId="4" fontId="52" fillId="0" borderId="40" xfId="37" applyNumberFormat="1" applyFont="1" applyBorder="1" applyAlignment="1">
      <alignment horizontal="center"/>
      <protection/>
    </xf>
    <xf numFmtId="0" fontId="52" fillId="0" borderId="48" xfId="37" applyFont="1" applyBorder="1" applyAlignment="1">
      <alignment horizontal="center"/>
      <protection/>
    </xf>
    <xf numFmtId="0" fontId="52" fillId="0" borderId="37" xfId="37" applyFont="1" applyBorder="1">
      <alignment/>
      <protection/>
    </xf>
    <xf numFmtId="4" fontId="52" fillId="0" borderId="48" xfId="37" applyNumberFormat="1" applyFont="1" applyBorder="1" applyAlignment="1">
      <alignment horizontal="center"/>
      <protection/>
    </xf>
    <xf numFmtId="4" fontId="52" fillId="0" borderId="64" xfId="37" applyNumberFormat="1" applyFont="1" applyBorder="1" applyAlignment="1">
      <alignment horizontal="center"/>
      <protection/>
    </xf>
    <xf numFmtId="0" fontId="52" fillId="0" borderId="0" xfId="37" applyFont="1" applyBorder="1">
      <alignment/>
      <protection/>
    </xf>
    <xf numFmtId="0" fontId="52" fillId="0" borderId="63" xfId="37" applyFont="1" applyBorder="1">
      <alignment/>
      <protection/>
    </xf>
    <xf numFmtId="0" fontId="52" fillId="0" borderId="17" xfId="37" applyFont="1" applyBorder="1" applyAlignment="1">
      <alignment horizontal="center"/>
      <protection/>
    </xf>
    <xf numFmtId="0" fontId="52" fillId="0" borderId="43" xfId="37" applyFont="1" applyBorder="1" applyAlignment="1">
      <alignment horizontal="center"/>
      <protection/>
    </xf>
    <xf numFmtId="4" fontId="52" fillId="0" borderId="36" xfId="37" applyNumberFormat="1" applyFont="1" applyBorder="1" applyAlignment="1">
      <alignment horizontal="center"/>
      <protection/>
    </xf>
    <xf numFmtId="0" fontId="52" fillId="0" borderId="0" xfId="37" applyFont="1" applyBorder="1" applyAlignment="1">
      <alignment horizontal="center"/>
      <protection/>
    </xf>
    <xf numFmtId="2" fontId="52" fillId="0" borderId="23" xfId="37" applyNumberFormat="1" applyFont="1" applyBorder="1" applyAlignment="1">
      <alignment horizontal="center"/>
      <protection/>
    </xf>
    <xf numFmtId="4" fontId="52" fillId="0" borderId="49" xfId="37" applyNumberFormat="1" applyFont="1" applyBorder="1" applyAlignment="1">
      <alignment horizontal="center"/>
      <protection/>
    </xf>
    <xf numFmtId="4" fontId="52" fillId="0" borderId="51" xfId="37" applyNumberFormat="1" applyFont="1" applyBorder="1" applyAlignment="1">
      <alignment horizontal="center"/>
      <protection/>
    </xf>
    <xf numFmtId="4" fontId="52" fillId="0" borderId="3" xfId="37" applyNumberFormat="1" applyFont="1" applyBorder="1" applyAlignment="1">
      <alignment horizontal="center"/>
      <protection/>
    </xf>
    <xf numFmtId="0" fontId="52" fillId="0" borderId="63" xfId="37" applyFont="1" applyBorder="1" applyAlignment="1">
      <alignment horizontal="center"/>
      <protection/>
    </xf>
    <xf numFmtId="2" fontId="52" fillId="0" borderId="44" xfId="37" applyNumberFormat="1" applyFont="1" applyBorder="1" applyAlignment="1">
      <alignment horizontal="center"/>
      <protection/>
    </xf>
    <xf numFmtId="4" fontId="52" fillId="0" borderId="4" xfId="37" applyNumberFormat="1" applyFont="1" applyBorder="1" applyAlignment="1">
      <alignment horizontal="center"/>
      <protection/>
    </xf>
    <xf numFmtId="4" fontId="52" fillId="0" borderId="55" xfId="37" applyNumberFormat="1" applyFont="1" applyBorder="1" applyAlignment="1">
      <alignment horizontal="center"/>
      <protection/>
    </xf>
    <xf numFmtId="0" fontId="52" fillId="0" borderId="18" xfId="37" applyFont="1" applyBorder="1">
      <alignment/>
      <protection/>
    </xf>
    <xf numFmtId="1" fontId="52" fillId="0" borderId="12" xfId="37" applyNumberFormat="1" applyFont="1" applyBorder="1" applyAlignment="1">
      <alignment horizontal="center"/>
      <protection/>
    </xf>
    <xf numFmtId="0" fontId="52" fillId="0" borderId="13" xfId="37" applyFont="1" applyBorder="1" applyAlignment="1">
      <alignment horizontal="center"/>
      <protection/>
    </xf>
    <xf numFmtId="49" fontId="52" fillId="0" borderId="50" xfId="37" applyNumberFormat="1" applyFont="1" applyBorder="1" applyAlignment="1">
      <alignment horizontal="center"/>
      <protection/>
    </xf>
    <xf numFmtId="49" fontId="52" fillId="0" borderId="13" xfId="37" applyNumberFormat="1" applyFont="1" applyBorder="1" applyAlignment="1">
      <alignment horizontal="center"/>
      <protection/>
    </xf>
    <xf numFmtId="3" fontId="52" fillId="0" borderId="13" xfId="37" applyNumberFormat="1" applyFont="1" applyBorder="1" applyAlignment="1">
      <alignment horizontal="center"/>
      <protection/>
    </xf>
    <xf numFmtId="1" fontId="52" fillId="0" borderId="16" xfId="37" applyNumberFormat="1" applyFont="1" applyBorder="1" applyAlignment="1">
      <alignment horizontal="center"/>
      <protection/>
    </xf>
    <xf numFmtId="1" fontId="52" fillId="0" borderId="65" xfId="37" applyNumberFormat="1" applyFont="1" applyBorder="1" applyAlignment="1">
      <alignment horizontal="left"/>
      <protection/>
    </xf>
    <xf numFmtId="1" fontId="52" fillId="0" borderId="67" xfId="37" applyNumberFormat="1" applyFont="1" applyBorder="1" applyAlignment="1">
      <alignment horizontal="center"/>
      <protection/>
    </xf>
    <xf numFmtId="1" fontId="52" fillId="0" borderId="56" xfId="37" applyNumberFormat="1" applyFont="1" applyBorder="1" applyAlignment="1">
      <alignment horizontal="left"/>
      <protection/>
    </xf>
    <xf numFmtId="1" fontId="52" fillId="0" borderId="57" xfId="37" applyNumberFormat="1" applyFont="1" applyBorder="1" applyAlignment="1">
      <alignment horizontal="left"/>
      <protection/>
    </xf>
    <xf numFmtId="4" fontId="52" fillId="0" borderId="4" xfId="37" applyNumberFormat="1" applyFont="1" applyBorder="1" applyAlignment="1">
      <alignment horizontal="right"/>
      <protection/>
    </xf>
    <xf numFmtId="4" fontId="52" fillId="0" borderId="55" xfId="37" applyNumberFormat="1" applyFont="1" applyBorder="1" applyAlignment="1">
      <alignment horizontal="right"/>
      <protection/>
    </xf>
    <xf numFmtId="4" fontId="2" fillId="0" borderId="4" xfId="37" applyNumberFormat="1" applyFont="1" applyBorder="1" applyAlignment="1">
      <alignment horizontal="right"/>
      <protection/>
    </xf>
    <xf numFmtId="1" fontId="52" fillId="0" borderId="52" xfId="37" applyNumberFormat="1" applyFont="1" applyBorder="1" applyAlignment="1">
      <alignment horizontal="left"/>
      <protection/>
    </xf>
    <xf numFmtId="1" fontId="52" fillId="0" borderId="61" xfId="37" applyNumberFormat="1" applyFont="1" applyBorder="1" applyAlignment="1">
      <alignment horizontal="left"/>
      <protection/>
    </xf>
    <xf numFmtId="0" fontId="54" fillId="0" borderId="52" xfId="37" applyFont="1" applyBorder="1" applyAlignment="1">
      <alignment vertical="center"/>
      <protection/>
    </xf>
    <xf numFmtId="0" fontId="54" fillId="0" borderId="53" xfId="37" applyFont="1" applyBorder="1" applyAlignment="1">
      <alignment vertical="center"/>
      <protection/>
    </xf>
    <xf numFmtId="4" fontId="54" fillId="0" borderId="12" xfId="37" applyNumberFormat="1" applyFont="1" applyBorder="1" applyAlignment="1">
      <alignment horizontal="center" vertical="center"/>
      <protection/>
    </xf>
    <xf numFmtId="4" fontId="54" fillId="0" borderId="13" xfId="37" applyNumberFormat="1" applyFont="1" applyBorder="1" applyAlignment="1">
      <alignment horizontal="center" vertical="center"/>
      <protection/>
    </xf>
    <xf numFmtId="4" fontId="54" fillId="0" borderId="16" xfId="37" applyNumberFormat="1" applyFont="1" applyBorder="1" applyAlignment="1">
      <alignment horizontal="center" vertical="center"/>
      <protection/>
    </xf>
    <xf numFmtId="0" fontId="54" fillId="0" borderId="0" xfId="37" applyFont="1">
      <alignment/>
      <protection/>
    </xf>
    <xf numFmtId="0" fontId="54" fillId="0" borderId="0" xfId="37" applyFont="1" applyBorder="1">
      <alignment/>
      <protection/>
    </xf>
    <xf numFmtId="0" fontId="52" fillId="0" borderId="0" xfId="37" applyFont="1" applyAlignment="1">
      <alignment horizontal="left"/>
      <protection/>
    </xf>
    <xf numFmtId="14" fontId="52" fillId="0" borderId="0" xfId="37" applyNumberFormat="1" applyFont="1" applyAlignment="1">
      <alignment horizontal="left"/>
      <protection/>
    </xf>
    <xf numFmtId="3" fontId="52" fillId="0" borderId="0" xfId="37" applyNumberFormat="1" applyFont="1" applyAlignment="1">
      <alignment horizontal="left"/>
      <protection/>
    </xf>
    <xf numFmtId="0" fontId="52" fillId="0" borderId="0" xfId="37" applyFont="1" applyAlignment="1">
      <alignment/>
      <protection/>
    </xf>
    <xf numFmtId="0" fontId="15" fillId="8" borderId="1" xfId="0" applyFont="1" applyFill="1" applyBorder="1" applyAlignment="1">
      <alignment horizontal="center" vertical="center" wrapText="1"/>
    </xf>
    <xf numFmtId="3" fontId="4" fillId="8" borderId="1" xfId="0" applyNumberFormat="1" applyFont="1" applyFill="1" applyBorder="1" applyAlignment="1">
      <alignment horizontal="center" vertical="center" wrapText="1"/>
    </xf>
    <xf numFmtId="0" fontId="0" fillId="0" borderId="0" xfId="35" applyAlignment="1">
      <alignment horizontal="center"/>
      <protection/>
    </xf>
    <xf numFmtId="0" fontId="56" fillId="0" borderId="0" xfId="35" applyFont="1">
      <alignment/>
      <protection/>
    </xf>
    <xf numFmtId="0" fontId="0" fillId="0" borderId="0" xfId="35">
      <alignment/>
      <protection/>
    </xf>
    <xf numFmtId="0" fontId="57" fillId="0" borderId="0" xfId="35" applyFont="1">
      <alignment/>
      <protection/>
    </xf>
    <xf numFmtId="0" fontId="58" fillId="0" borderId="0" xfId="35" applyFont="1">
      <alignment/>
      <protection/>
    </xf>
    <xf numFmtId="0" fontId="57" fillId="0" borderId="0" xfId="35" applyFont="1">
      <alignment/>
      <protection/>
    </xf>
    <xf numFmtId="0" fontId="58" fillId="0" borderId="0" xfId="35" applyFont="1" applyAlignment="1">
      <alignment horizontal="justify" wrapText="1"/>
      <protection/>
    </xf>
    <xf numFmtId="0" fontId="36" fillId="0" borderId="0" xfId="35" applyFont="1">
      <alignment/>
      <protection/>
    </xf>
    <xf numFmtId="0" fontId="58" fillId="0" borderId="0" xfId="35" applyFont="1">
      <alignment/>
      <protection/>
    </xf>
    <xf numFmtId="4" fontId="15" fillId="0" borderId="0" xfId="38" applyNumberFormat="1" applyFont="1" applyBorder="1" applyAlignment="1">
      <alignment horizontal="right" vertical="center"/>
      <protection/>
    </xf>
    <xf numFmtId="0" fontId="5" fillId="0" borderId="0" xfId="38" applyFont="1" applyBorder="1" applyAlignment="1">
      <alignment vertical="center"/>
      <protection/>
    </xf>
    <xf numFmtId="0" fontId="2" fillId="0" borderId="0" xfId="38">
      <alignment/>
      <protection/>
    </xf>
    <xf numFmtId="0" fontId="2" fillId="0" borderId="0" xfId="38" applyBorder="1">
      <alignment/>
      <protection/>
    </xf>
    <xf numFmtId="0" fontId="5" fillId="0" borderId="68" xfId="38" applyFont="1" applyBorder="1" applyAlignment="1">
      <alignment vertical="center"/>
      <protection/>
    </xf>
    <xf numFmtId="0" fontId="5" fillId="0" borderId="69" xfId="38" applyFont="1" applyBorder="1" applyAlignment="1">
      <alignment vertical="center"/>
      <protection/>
    </xf>
    <xf numFmtId="0" fontId="5" fillId="0" borderId="69" xfId="38" applyFont="1" applyBorder="1" applyAlignment="1">
      <alignment horizontal="right" vertical="center"/>
      <protection/>
    </xf>
    <xf numFmtId="0" fontId="5" fillId="0" borderId="70" xfId="38" applyFont="1" applyBorder="1" applyAlignment="1">
      <alignment horizontal="right" vertical="center"/>
      <protection/>
    </xf>
    <xf numFmtId="4" fontId="5" fillId="0" borderId="0" xfId="38" applyNumberFormat="1" applyFont="1" applyFill="1" applyBorder="1" applyAlignment="1">
      <alignment horizontal="right" vertical="center"/>
      <protection/>
    </xf>
    <xf numFmtId="0" fontId="5" fillId="0" borderId="0" xfId="38" applyFont="1" applyBorder="1" applyAlignment="1">
      <alignment horizontal="right" vertical="center"/>
      <protection/>
    </xf>
    <xf numFmtId="4" fontId="5" fillId="0" borderId="71" xfId="38" applyNumberFormat="1" applyFont="1" applyBorder="1" applyAlignment="1">
      <alignment vertical="center"/>
      <protection/>
    </xf>
    <xf numFmtId="4" fontId="5" fillId="0" borderId="72" xfId="38" applyNumberFormat="1" applyFont="1" applyBorder="1" applyAlignment="1">
      <alignment vertical="center"/>
      <protection/>
    </xf>
    <xf numFmtId="4" fontId="5" fillId="0" borderId="4" xfId="38" applyNumberFormat="1" applyFont="1" applyBorder="1" applyAlignment="1">
      <alignment vertical="center"/>
      <protection/>
    </xf>
    <xf numFmtId="4" fontId="5" fillId="0" borderId="55" xfId="38" applyNumberFormat="1" applyFont="1" applyBorder="1" applyAlignment="1">
      <alignment vertical="center"/>
      <protection/>
    </xf>
    <xf numFmtId="0" fontId="4" fillId="0" borderId="0" xfId="38" applyFont="1">
      <alignment/>
      <protection/>
    </xf>
    <xf numFmtId="4" fontId="5" fillId="0" borderId="0" xfId="38" applyNumberFormat="1" applyFont="1" applyBorder="1" applyAlignment="1">
      <alignment vertical="center"/>
      <protection/>
    </xf>
    <xf numFmtId="4" fontId="2" fillId="0" borderId="0" xfId="38" applyNumberFormat="1">
      <alignment/>
      <protection/>
    </xf>
    <xf numFmtId="4" fontId="5" fillId="0" borderId="73" xfId="38" applyNumberFormat="1" applyFont="1" applyBorder="1" applyAlignment="1">
      <alignment vertical="center"/>
      <protection/>
    </xf>
    <xf numFmtId="4" fontId="5" fillId="0" borderId="10" xfId="38" applyNumberFormat="1" applyFont="1" applyBorder="1" applyAlignment="1">
      <alignment vertical="center"/>
      <protection/>
    </xf>
    <xf numFmtId="4" fontId="5" fillId="0" borderId="57" xfId="38" applyNumberFormat="1" applyFont="1" applyBorder="1" applyAlignment="1">
      <alignment vertical="center"/>
      <protection/>
    </xf>
    <xf numFmtId="4" fontId="17" fillId="0" borderId="0" xfId="38" applyNumberFormat="1" applyFont="1" applyFill="1" applyBorder="1" applyAlignment="1">
      <alignment vertical="center"/>
      <protection/>
    </xf>
    <xf numFmtId="4" fontId="59" fillId="0" borderId="0" xfId="38" applyNumberFormat="1" applyFont="1" applyBorder="1" applyAlignment="1">
      <alignment vertical="center"/>
      <protection/>
    </xf>
    <xf numFmtId="4" fontId="22" fillId="0" borderId="74" xfId="38" applyNumberFormat="1" applyFont="1" applyBorder="1" applyAlignment="1">
      <alignment vertical="center"/>
      <protection/>
    </xf>
    <xf numFmtId="4" fontId="22" fillId="0" borderId="75" xfId="38" applyNumberFormat="1" applyFont="1" applyBorder="1" applyAlignment="1">
      <alignment vertical="center"/>
      <protection/>
    </xf>
    <xf numFmtId="4" fontId="5" fillId="0" borderId="76" xfId="38" applyNumberFormat="1" applyFont="1" applyBorder="1" applyAlignment="1">
      <alignment vertical="center" wrapText="1"/>
      <protection/>
    </xf>
    <xf numFmtId="4" fontId="5" fillId="0" borderId="76" xfId="38" applyNumberFormat="1" applyFont="1" applyBorder="1" applyAlignment="1">
      <alignment vertical="center"/>
      <protection/>
    </xf>
    <xf numFmtId="4" fontId="5" fillId="0" borderId="77" xfId="38" applyNumberFormat="1" applyFont="1" applyBorder="1" applyAlignment="1">
      <alignment vertical="center"/>
      <protection/>
    </xf>
    <xf numFmtId="4" fontId="60" fillId="2" borderId="53" xfId="38" applyNumberFormat="1" applyFont="1" applyFill="1" applyBorder="1" applyAlignment="1">
      <alignment vertical="center"/>
      <protection/>
    </xf>
    <xf numFmtId="4" fontId="60" fillId="2" borderId="45" xfId="38" applyNumberFormat="1" applyFont="1" applyFill="1" applyBorder="1" applyAlignment="1">
      <alignment vertical="center"/>
      <protection/>
    </xf>
    <xf numFmtId="4" fontId="60" fillId="2" borderId="78" xfId="38" applyNumberFormat="1" applyFont="1" applyFill="1" applyBorder="1" applyAlignment="1">
      <alignment vertical="center"/>
      <protection/>
    </xf>
    <xf numFmtId="4" fontId="60" fillId="2" borderId="50" xfId="38" applyNumberFormat="1" applyFont="1" applyFill="1" applyBorder="1" applyAlignment="1">
      <alignment vertical="center"/>
      <protection/>
    </xf>
    <xf numFmtId="4" fontId="60" fillId="2" borderId="46" xfId="38" applyNumberFormat="1" applyFont="1" applyFill="1" applyBorder="1" applyAlignment="1">
      <alignment vertical="center"/>
      <protection/>
    </xf>
    <xf numFmtId="4" fontId="60" fillId="0" borderId="0" xfId="38" applyNumberFormat="1" applyFont="1" applyFill="1" applyBorder="1" applyAlignment="1">
      <alignment vertical="center"/>
      <protection/>
    </xf>
    <xf numFmtId="0" fontId="2" fillId="0" borderId="0" xfId="38" applyFill="1">
      <alignment/>
      <protection/>
    </xf>
    <xf numFmtId="4" fontId="2" fillId="0" borderId="0" xfId="38" applyNumberFormat="1" applyFill="1">
      <alignment/>
      <protection/>
    </xf>
    <xf numFmtId="0" fontId="5" fillId="0" borderId="0" xfId="38" applyFont="1" applyAlignment="1">
      <alignment vertical="center"/>
      <protection/>
    </xf>
    <xf numFmtId="0" fontId="61" fillId="0" borderId="66" xfId="38" applyFont="1" applyFill="1" applyBorder="1" applyAlignment="1">
      <alignment horizontal="center" vertical="center"/>
      <protection/>
    </xf>
    <xf numFmtId="0" fontId="61" fillId="0" borderId="48" xfId="38" applyFont="1" applyFill="1" applyBorder="1" applyAlignment="1">
      <alignment horizontal="center" vertical="center"/>
      <protection/>
    </xf>
    <xf numFmtId="0" fontId="5" fillId="0" borderId="79" xfId="38" applyFont="1" applyFill="1" applyBorder="1" applyAlignment="1">
      <alignment horizontal="right" vertical="center" wrapText="1"/>
      <protection/>
    </xf>
    <xf numFmtId="4" fontId="5" fillId="0" borderId="79" xfId="38" applyNumberFormat="1" applyFont="1" applyFill="1" applyBorder="1" applyAlignment="1">
      <alignment horizontal="right" vertical="center"/>
      <protection/>
    </xf>
    <xf numFmtId="4" fontId="5" fillId="0" borderId="67" xfId="38" applyNumberFormat="1" applyFont="1" applyFill="1" applyBorder="1" applyAlignment="1">
      <alignment horizontal="right" vertical="center"/>
      <protection/>
    </xf>
    <xf numFmtId="4" fontId="62" fillId="0" borderId="0" xfId="38" applyNumberFormat="1" applyFont="1" applyFill="1" applyBorder="1" applyAlignment="1">
      <alignment vertical="center"/>
      <protection/>
    </xf>
    <xf numFmtId="0" fontId="5" fillId="0" borderId="73" xfId="38" applyFont="1" applyFill="1" applyBorder="1" applyAlignment="1">
      <alignment vertical="center"/>
      <protection/>
    </xf>
    <xf numFmtId="0" fontId="5" fillId="0" borderId="10" xfId="38" applyFont="1" applyFill="1" applyBorder="1" applyAlignment="1">
      <alignment vertical="center"/>
      <protection/>
    </xf>
    <xf numFmtId="4" fontId="5" fillId="0" borderId="4" xfId="38" applyNumberFormat="1" applyFont="1" applyFill="1" applyBorder="1" applyAlignment="1">
      <alignment horizontal="right" vertical="center"/>
      <protection/>
    </xf>
    <xf numFmtId="4" fontId="5" fillId="0" borderId="55" xfId="38" applyNumberFormat="1" applyFont="1" applyFill="1" applyBorder="1" applyAlignment="1">
      <alignment horizontal="right" vertical="center"/>
      <protection/>
    </xf>
    <xf numFmtId="4" fontId="15" fillId="0" borderId="0" xfId="38" applyNumberFormat="1" applyFont="1" applyFill="1" applyBorder="1" applyAlignment="1">
      <alignment vertical="center"/>
      <protection/>
    </xf>
    <xf numFmtId="0" fontId="5" fillId="0" borderId="36" xfId="38" applyFont="1" applyFill="1" applyBorder="1" applyAlignment="1">
      <alignment vertical="center"/>
      <protection/>
    </xf>
    <xf numFmtId="0" fontId="5" fillId="0" borderId="49" xfId="38" applyFont="1" applyFill="1" applyBorder="1" applyAlignment="1">
      <alignment vertical="center"/>
      <protection/>
    </xf>
    <xf numFmtId="4" fontId="5" fillId="0" borderId="21" xfId="38" applyNumberFormat="1" applyFont="1" applyBorder="1" applyAlignment="1">
      <alignment vertical="center"/>
      <protection/>
    </xf>
    <xf numFmtId="4" fontId="5" fillId="0" borderId="59" xfId="38" applyNumberFormat="1" applyFont="1" applyFill="1" applyBorder="1" applyAlignment="1">
      <alignment horizontal="right" vertical="center"/>
      <protection/>
    </xf>
    <xf numFmtId="0" fontId="5" fillId="0" borderId="26" xfId="38" applyFont="1" applyFill="1" applyBorder="1" applyAlignment="1">
      <alignment vertical="center"/>
      <protection/>
    </xf>
    <xf numFmtId="0" fontId="5" fillId="0" borderId="13" xfId="38" applyFont="1" applyFill="1" applyBorder="1" applyAlignment="1">
      <alignment vertical="center"/>
      <protection/>
    </xf>
    <xf numFmtId="4" fontId="5" fillId="0" borderId="13" xfId="38" applyNumberFormat="1" applyFont="1" applyFill="1" applyBorder="1" applyAlignment="1">
      <alignment horizontal="right" vertical="center"/>
      <protection/>
    </xf>
    <xf numFmtId="4" fontId="5" fillId="0" borderId="16" xfId="38" applyNumberFormat="1" applyFont="1" applyFill="1" applyBorder="1" applyAlignment="1">
      <alignment horizontal="right" vertical="center"/>
      <protection/>
    </xf>
    <xf numFmtId="0" fontId="62" fillId="0" borderId="0" xfId="38" applyFont="1" applyBorder="1" applyAlignment="1">
      <alignment vertical="center"/>
      <protection/>
    </xf>
    <xf numFmtId="3" fontId="62" fillId="0" borderId="0" xfId="38" applyNumberFormat="1" applyFont="1" applyBorder="1" applyAlignment="1">
      <alignment vertical="center"/>
      <protection/>
    </xf>
    <xf numFmtId="4" fontId="62" fillId="0" borderId="0" xfId="38" applyNumberFormat="1" applyFont="1" applyBorder="1" applyAlignment="1">
      <alignment vertical="center"/>
      <protection/>
    </xf>
    <xf numFmtId="3" fontId="5" fillId="0" borderId="70" xfId="38" applyNumberFormat="1" applyFont="1" applyBorder="1" applyAlignment="1">
      <alignment horizontal="right" vertical="center"/>
      <protection/>
    </xf>
    <xf numFmtId="0" fontId="5" fillId="0" borderId="80" xfId="38" applyFont="1" applyBorder="1" applyAlignment="1">
      <alignment vertical="center"/>
      <protection/>
    </xf>
    <xf numFmtId="0" fontId="5" fillId="0" borderId="27" xfId="38" applyFont="1" applyBorder="1" applyAlignment="1">
      <alignment vertical="center"/>
      <protection/>
    </xf>
    <xf numFmtId="0" fontId="5" fillId="0" borderId="73" xfId="38" applyFont="1" applyBorder="1" applyAlignment="1">
      <alignment vertical="center"/>
      <protection/>
    </xf>
    <xf numFmtId="0" fontId="5" fillId="0" borderId="10" xfId="38" applyFont="1" applyBorder="1" applyAlignment="1">
      <alignment vertical="center"/>
      <protection/>
    </xf>
    <xf numFmtId="0" fontId="5" fillId="0" borderId="81" xfId="38" applyFont="1" applyBorder="1" applyAlignment="1">
      <alignment vertical="center"/>
      <protection/>
    </xf>
    <xf numFmtId="0" fontId="5" fillId="0" borderId="4" xfId="38" applyFont="1" applyBorder="1" applyAlignment="1">
      <alignment vertical="center"/>
      <protection/>
    </xf>
    <xf numFmtId="4" fontId="22" fillId="0" borderId="73" xfId="38" applyNumberFormat="1" applyFont="1" applyBorder="1" applyAlignment="1">
      <alignment vertical="center"/>
      <protection/>
    </xf>
    <xf numFmtId="4" fontId="22" fillId="0" borderId="10" xfId="38" applyNumberFormat="1" applyFont="1" applyBorder="1" applyAlignment="1">
      <alignment vertical="center"/>
      <protection/>
    </xf>
    <xf numFmtId="4" fontId="5" fillId="0" borderId="10" xfId="38" applyNumberFormat="1" applyFont="1" applyBorder="1" applyAlignment="1">
      <alignment vertical="center" wrapText="1"/>
      <protection/>
    </xf>
    <xf numFmtId="4" fontId="22" fillId="0" borderId="80" xfId="38" applyNumberFormat="1" applyFont="1" applyBorder="1" applyAlignment="1">
      <alignment vertical="center"/>
      <protection/>
    </xf>
    <xf numFmtId="4" fontId="22" fillId="0" borderId="31" xfId="38" applyNumberFormat="1" applyFont="1" applyBorder="1" applyAlignment="1">
      <alignment vertical="center"/>
      <protection/>
    </xf>
    <xf numFmtId="4" fontId="5" fillId="0" borderId="7" xfId="38" applyNumberFormat="1" applyFont="1" applyBorder="1">
      <alignment/>
      <protection/>
    </xf>
    <xf numFmtId="4" fontId="5" fillId="0" borderId="11" xfId="38" applyNumberFormat="1" applyFont="1" applyBorder="1">
      <alignment/>
      <protection/>
    </xf>
    <xf numFmtId="4" fontId="5" fillId="0" borderId="82" xfId="38" applyNumberFormat="1" applyFont="1" applyBorder="1">
      <alignment/>
      <protection/>
    </xf>
    <xf numFmtId="4" fontId="5" fillId="0" borderId="83" xfId="38" applyNumberFormat="1" applyFont="1" applyBorder="1">
      <alignment/>
      <protection/>
    </xf>
    <xf numFmtId="0" fontId="60" fillId="2" borderId="53" xfId="38" applyFont="1" applyFill="1" applyBorder="1" applyAlignment="1">
      <alignment vertical="center"/>
      <protection/>
    </xf>
    <xf numFmtId="0" fontId="60" fillId="2" borderId="45" xfId="38" applyFont="1" applyFill="1" applyBorder="1" applyAlignment="1">
      <alignment vertical="center"/>
      <protection/>
    </xf>
    <xf numFmtId="4" fontId="60" fillId="2" borderId="44" xfId="38" applyNumberFormat="1" applyFont="1" applyFill="1" applyBorder="1" applyAlignment="1">
      <alignment vertical="center"/>
      <protection/>
    </xf>
    <xf numFmtId="4" fontId="63" fillId="0" borderId="0" xfId="38" applyNumberFormat="1" applyFont="1" applyFill="1" applyBorder="1" applyAlignment="1">
      <alignment vertical="center"/>
      <protection/>
    </xf>
    <xf numFmtId="0" fontId="63" fillId="0" borderId="0" xfId="38" applyFont="1" applyBorder="1" applyAlignment="1">
      <alignment vertical="center"/>
      <protection/>
    </xf>
    <xf numFmtId="0" fontId="62" fillId="0" borderId="0" xfId="38" applyFont="1" applyFill="1" applyBorder="1" applyAlignment="1">
      <alignment vertical="center"/>
      <protection/>
    </xf>
    <xf numFmtId="3" fontId="5" fillId="0" borderId="0" xfId="38" applyNumberFormat="1" applyFont="1" applyFill="1" applyBorder="1" applyAlignment="1">
      <alignment vertical="center"/>
      <protection/>
    </xf>
    <xf numFmtId="4" fontId="62" fillId="0" borderId="0" xfId="38" applyNumberFormat="1" applyFont="1" applyFill="1" applyBorder="1" applyAlignment="1">
      <alignment horizontal="right" vertical="center"/>
      <protection/>
    </xf>
    <xf numFmtId="4" fontId="5" fillId="0" borderId="0" xfId="38" applyNumberFormat="1" applyFont="1" applyFill="1" applyBorder="1" applyAlignment="1">
      <alignment vertical="center"/>
      <protection/>
    </xf>
    <xf numFmtId="0" fontId="5" fillId="0" borderId="0" xfId="38" applyFont="1" applyFill="1" applyBorder="1" applyAlignment="1">
      <alignment vertical="center"/>
      <protection/>
    </xf>
    <xf numFmtId="0" fontId="60" fillId="2" borderId="26" xfId="38" applyFont="1" applyFill="1" applyBorder="1" applyAlignment="1">
      <alignment vertical="center" wrapText="1"/>
      <protection/>
    </xf>
    <xf numFmtId="0" fontId="60" fillId="2" borderId="13" xfId="38" applyFont="1" applyFill="1" applyBorder="1" applyAlignment="1">
      <alignment horizontal="left" vertical="center" wrapText="1"/>
      <protection/>
    </xf>
    <xf numFmtId="4" fontId="60" fillId="2" borderId="29" xfId="38" applyNumberFormat="1" applyFont="1" applyFill="1" applyBorder="1" applyAlignment="1">
      <alignment vertical="center"/>
      <protection/>
    </xf>
    <xf numFmtId="4" fontId="60" fillId="2" borderId="2" xfId="38" applyNumberFormat="1" applyFont="1" applyFill="1" applyBorder="1" applyAlignment="1">
      <alignment vertical="center"/>
      <protection/>
    </xf>
    <xf numFmtId="4" fontId="60" fillId="2" borderId="16" xfId="38" applyNumberFormat="1" applyFont="1" applyFill="1" applyBorder="1" applyAlignment="1">
      <alignment vertical="center"/>
      <protection/>
    </xf>
    <xf numFmtId="4" fontId="60" fillId="0" borderId="0" xfId="38" applyNumberFormat="1" applyFont="1" applyBorder="1" applyAlignment="1">
      <alignment vertical="center"/>
      <protection/>
    </xf>
    <xf numFmtId="0" fontId="60" fillId="0" borderId="0" xfId="38" applyFont="1" applyFill="1" applyBorder="1" applyAlignment="1">
      <alignment vertical="center" wrapText="1"/>
      <protection/>
    </xf>
    <xf numFmtId="0" fontId="5" fillId="0" borderId="0" xfId="38" applyFont="1" applyBorder="1" applyAlignment="1">
      <alignment wrapText="1"/>
      <protection/>
    </xf>
    <xf numFmtId="49" fontId="5" fillId="0" borderId="0" xfId="38" applyNumberFormat="1" applyFont="1" applyBorder="1" applyAlignment="1">
      <alignment vertical="center"/>
      <protection/>
    </xf>
    <xf numFmtId="0" fontId="5" fillId="0" borderId="0" xfId="38" applyFont="1" applyAlignment="1">
      <alignment vertical="center" wrapText="1"/>
      <protection/>
    </xf>
    <xf numFmtId="167" fontId="5" fillId="0" borderId="0" xfId="38" applyNumberFormat="1" applyFont="1" applyBorder="1" applyAlignment="1">
      <alignment vertical="center"/>
      <protection/>
    </xf>
    <xf numFmtId="168" fontId="5" fillId="0" borderId="0" xfId="38" applyNumberFormat="1" applyFont="1" applyBorder="1" applyAlignment="1">
      <alignment vertical="center"/>
      <protection/>
    </xf>
    <xf numFmtId="0" fontId="17" fillId="0" borderId="0" xfId="38" applyFont="1" applyBorder="1" applyAlignment="1">
      <alignment vertical="center"/>
      <protection/>
    </xf>
    <xf numFmtId="0" fontId="22" fillId="0" borderId="0" xfId="38" applyFont="1" applyBorder="1" applyAlignment="1">
      <alignment vertical="center"/>
      <protection/>
    </xf>
    <xf numFmtId="4" fontId="22" fillId="0" borderId="0" xfId="38" applyNumberFormat="1" applyFont="1" applyBorder="1" applyAlignment="1">
      <alignment vertical="center"/>
      <protection/>
    </xf>
    <xf numFmtId="168" fontId="17" fillId="0" borderId="0" xfId="38" applyNumberFormat="1" applyFont="1" applyBorder="1" applyAlignment="1">
      <alignment vertical="center"/>
      <protection/>
    </xf>
    <xf numFmtId="0" fontId="5" fillId="0" borderId="0" xfId="38" applyFont="1">
      <alignment/>
      <protection/>
    </xf>
    <xf numFmtId="8" fontId="2" fillId="0" borderId="0" xfId="38" applyNumberFormat="1">
      <alignment/>
      <protection/>
    </xf>
    <xf numFmtId="49" fontId="5" fillId="0" borderId="0" xfId="38" applyNumberFormat="1" applyFont="1">
      <alignment/>
      <protection/>
    </xf>
    <xf numFmtId="4" fontId="8" fillId="0" borderId="37" xfId="15" applyNumberFormat="1" applyFont="1" applyFill="1" applyBorder="1" applyAlignment="1">
      <alignment horizontal="right" vertical="center"/>
    </xf>
    <xf numFmtId="4" fontId="8" fillId="0" borderId="37" xfId="0" applyNumberFormat="1" applyFont="1" applyFill="1" applyBorder="1" applyAlignment="1">
      <alignment horizontal="right" vertical="center" wrapText="1"/>
    </xf>
    <xf numFmtId="0" fontId="47" fillId="0" borderId="0" xfId="23" applyFont="1" applyAlignment="1">
      <alignment horizontal="right"/>
      <protection/>
    </xf>
    <xf numFmtId="0" fontId="2" fillId="0" borderId="0" xfId="24" applyFont="1" applyFill="1" applyAlignment="1">
      <alignment horizontal="right"/>
      <protection/>
    </xf>
    <xf numFmtId="0" fontId="37" fillId="0" borderId="0" xfId="24" applyFont="1" applyAlignment="1">
      <alignment horizontal="center"/>
      <protection/>
    </xf>
    <xf numFmtId="0" fontId="31" fillId="0" borderId="0" xfId="24" applyFont="1" applyAlignment="1">
      <alignment horizontal="center"/>
      <protection/>
    </xf>
    <xf numFmtId="0" fontId="2" fillId="0" borderId="0" xfId="24" applyFont="1" applyAlignment="1">
      <alignment horizontal="center"/>
      <protection/>
    </xf>
    <xf numFmtId="0" fontId="44" fillId="0" borderId="16" xfId="0" applyFont="1" applyBorder="1" applyAlignment="1">
      <alignment horizontal="center" vertical="center"/>
    </xf>
    <xf numFmtId="0" fontId="2" fillId="0" borderId="0" xfId="23" applyFont="1" applyFill="1" applyAlignment="1">
      <alignment horizontal="right"/>
      <protection/>
    </xf>
    <xf numFmtId="0" fontId="37" fillId="0" borderId="0" xfId="23" applyFont="1" applyAlignment="1">
      <alignment horizontal="center"/>
      <protection/>
    </xf>
    <xf numFmtId="0" fontId="31" fillId="0" borderId="0" xfId="23" applyFont="1" applyAlignment="1">
      <alignment horizontal="center"/>
      <protection/>
    </xf>
    <xf numFmtId="0" fontId="2" fillId="0" borderId="0" xfId="23" applyFont="1" applyAlignment="1">
      <alignment horizontal="center"/>
      <protection/>
    </xf>
    <xf numFmtId="0" fontId="2" fillId="0" borderId="0" xfId="23" applyFont="1" applyAlignment="1">
      <alignment horizontal="center"/>
      <protection/>
    </xf>
    <xf numFmtId="3" fontId="8" fillId="0" borderId="0" xfId="21" applyNumberFormat="1" applyFont="1" applyFill="1" applyBorder="1" applyAlignment="1">
      <alignment horizontal="left" vertical="center"/>
      <protection/>
    </xf>
    <xf numFmtId="0" fontId="8" fillId="0" borderId="0" xfId="21" applyFont="1" applyBorder="1" applyAlignment="1">
      <alignment horizontal="left" vertical="center"/>
      <protection/>
    </xf>
    <xf numFmtId="0" fontId="36" fillId="0" borderId="0" xfId="0" applyFont="1" applyAlignment="1">
      <alignment horizontal="center"/>
    </xf>
    <xf numFmtId="0" fontId="44" fillId="0" borderId="26" xfId="0" applyFont="1" applyBorder="1" applyAlignment="1">
      <alignment horizontal="center" vertical="center"/>
    </xf>
    <xf numFmtId="49" fontId="21" fillId="0" borderId="43" xfId="34" applyNumberFormat="1" applyFont="1" applyBorder="1" applyAlignment="1">
      <alignment horizontal="left" vertical="center" wrapText="1"/>
      <protection/>
    </xf>
    <xf numFmtId="3" fontId="15" fillId="0" borderId="17" xfId="34" applyNumberFormat="1" applyFont="1" applyBorder="1" applyAlignment="1">
      <alignment vertical="center" wrapText="1"/>
      <protection/>
    </xf>
    <xf numFmtId="3" fontId="15" fillId="0" borderId="43" xfId="34" applyNumberFormat="1" applyFont="1" applyBorder="1" applyAlignment="1">
      <alignment vertical="center" wrapText="1"/>
      <protection/>
    </xf>
    <xf numFmtId="0" fontId="2" fillId="0" borderId="17" xfId="34" applyBorder="1" applyAlignment="1">
      <alignment vertical="center" wrapText="1"/>
      <protection/>
    </xf>
    <xf numFmtId="0" fontId="8" fillId="0" borderId="37" xfId="0" applyFont="1" applyFill="1" applyBorder="1" applyAlignment="1">
      <alignment vertical="center" wrapText="1"/>
    </xf>
    <xf numFmtId="0" fontId="8" fillId="0" borderId="6" xfId="0" applyFont="1" applyBorder="1" applyAlignment="1">
      <alignment vertical="center" wrapText="1"/>
    </xf>
    <xf numFmtId="0" fontId="8" fillId="0" borderId="37"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21" xfId="0" applyFont="1" applyFill="1" applyBorder="1" applyAlignment="1">
      <alignment vertical="center" wrapText="1"/>
    </xf>
    <xf numFmtId="0" fontId="5" fillId="0" borderId="45" xfId="38" applyFont="1" applyBorder="1" applyAlignment="1">
      <alignment horizontal="justify" vertical="center" wrapText="1"/>
      <protection/>
    </xf>
    <xf numFmtId="0" fontId="63" fillId="0" borderId="0" xfId="38" applyFont="1" applyBorder="1" applyAlignment="1">
      <alignment wrapText="1"/>
      <protection/>
    </xf>
    <xf numFmtId="4" fontId="5" fillId="0" borderId="74" xfId="38" applyNumberFormat="1" applyFont="1" applyBorder="1" applyAlignment="1">
      <alignment vertical="center"/>
      <protection/>
    </xf>
    <xf numFmtId="0" fontId="2" fillId="0" borderId="84" xfId="38" applyFont="1" applyBorder="1" applyAlignment="1">
      <alignment vertical="center"/>
      <protection/>
    </xf>
    <xf numFmtId="3" fontId="4" fillId="0" borderId="42" xfId="0" applyNumberFormat="1" applyFont="1" applyBorder="1" applyAlignment="1">
      <alignment horizontal="left" vertical="center" wrapText="1"/>
    </xf>
    <xf numFmtId="3" fontId="4" fillId="0" borderId="8" xfId="0" applyNumberFormat="1" applyFont="1" applyBorder="1" applyAlignment="1">
      <alignment horizontal="left" vertical="center" wrapText="1"/>
    </xf>
    <xf numFmtId="0" fontId="2" fillId="0" borderId="0" xfId="24" applyFont="1" applyAlignment="1">
      <alignment horizontal="center"/>
      <protection/>
    </xf>
    <xf numFmtId="0" fontId="47" fillId="0" borderId="0" xfId="24" applyFont="1" applyAlignment="1">
      <alignment horizontal="right"/>
      <protection/>
    </xf>
    <xf numFmtId="0" fontId="2" fillId="0" borderId="0" xfId="25" applyFont="1" applyFill="1" applyAlignment="1">
      <alignment horizontal="right"/>
      <protection/>
    </xf>
    <xf numFmtId="0" fontId="37" fillId="0" borderId="0" xfId="25" applyFont="1" applyAlignment="1">
      <alignment horizontal="center"/>
      <protection/>
    </xf>
    <xf numFmtId="0" fontId="31" fillId="0" borderId="0" xfId="25" applyFont="1" applyAlignment="1">
      <alignment horizontal="center"/>
      <protection/>
    </xf>
    <xf numFmtId="0" fontId="2" fillId="0" borderId="0" xfId="25" applyFont="1" applyAlignment="1">
      <alignment horizontal="center"/>
      <protection/>
    </xf>
    <xf numFmtId="0" fontId="2" fillId="0" borderId="0" xfId="25" applyFont="1" applyAlignment="1">
      <alignment horizontal="center"/>
      <protection/>
    </xf>
    <xf numFmtId="0" fontId="47" fillId="0" borderId="0" xfId="25" applyFont="1" applyAlignment="1">
      <alignment horizontal="right"/>
      <protection/>
    </xf>
    <xf numFmtId="0" fontId="2" fillId="0" borderId="0" xfId="26" applyFont="1" applyFill="1" applyAlignment="1">
      <alignment horizontal="right"/>
      <protection/>
    </xf>
    <xf numFmtId="0" fontId="37" fillId="0" borderId="0" xfId="26" applyFont="1" applyAlignment="1">
      <alignment horizontal="center"/>
      <protection/>
    </xf>
    <xf numFmtId="0" fontId="31" fillId="0" borderId="0" xfId="26" applyFont="1" applyAlignment="1">
      <alignment horizontal="center"/>
      <protection/>
    </xf>
    <xf numFmtId="0" fontId="2" fillId="0" borderId="0" xfId="26" applyFont="1" applyAlignment="1">
      <alignment horizontal="center"/>
      <protection/>
    </xf>
    <xf numFmtId="0" fontId="2" fillId="0" borderId="0" xfId="26" applyFont="1" applyAlignment="1">
      <alignment horizontal="center"/>
      <protection/>
    </xf>
    <xf numFmtId="0" fontId="47" fillId="0" borderId="0" xfId="26" applyFont="1" applyAlignment="1">
      <alignment horizontal="right"/>
      <protection/>
    </xf>
    <xf numFmtId="0" fontId="2" fillId="0" borderId="0" xfId="27" applyFont="1" applyFill="1" applyAlignment="1">
      <alignment horizontal="right"/>
      <protection/>
    </xf>
    <xf numFmtId="0" fontId="37" fillId="0" borderId="0" xfId="27" applyFont="1" applyAlignment="1">
      <alignment horizontal="center"/>
      <protection/>
    </xf>
    <xf numFmtId="0" fontId="31" fillId="0" borderId="0" xfId="27" applyFont="1" applyAlignment="1">
      <alignment horizontal="center"/>
      <protection/>
    </xf>
    <xf numFmtId="0" fontId="2" fillId="0" borderId="0" xfId="27" applyFont="1" applyAlignment="1">
      <alignment horizontal="center"/>
      <protection/>
    </xf>
    <xf numFmtId="0" fontId="2" fillId="0" borderId="0" xfId="27" applyFont="1" applyAlignment="1">
      <alignment horizontal="center"/>
      <protection/>
    </xf>
    <xf numFmtId="0" fontId="47" fillId="0" borderId="0" xfId="27" applyFont="1" applyAlignment="1">
      <alignment horizontal="right"/>
      <protection/>
    </xf>
    <xf numFmtId="0" fontId="2" fillId="0" borderId="0" xfId="28" applyFont="1" applyFill="1" applyAlignment="1">
      <alignment horizontal="right"/>
      <protection/>
    </xf>
    <xf numFmtId="0" fontId="37" fillId="0" borderId="0" xfId="28" applyFont="1" applyAlignment="1">
      <alignment horizontal="center"/>
      <protection/>
    </xf>
    <xf numFmtId="0" fontId="31" fillId="0" borderId="0" xfId="28" applyFont="1" applyAlignment="1">
      <alignment horizontal="center"/>
      <protection/>
    </xf>
    <xf numFmtId="0" fontId="2" fillId="0" borderId="0" xfId="28" applyFont="1" applyAlignment="1">
      <alignment horizontal="center"/>
      <protection/>
    </xf>
    <xf numFmtId="0" fontId="2" fillId="0" borderId="0" xfId="28" applyFont="1" applyAlignment="1">
      <alignment horizontal="center"/>
      <protection/>
    </xf>
    <xf numFmtId="0" fontId="47" fillId="0" borderId="0" xfId="28" applyFont="1" applyAlignment="1">
      <alignment horizontal="right"/>
      <protection/>
    </xf>
    <xf numFmtId="0" fontId="2" fillId="0" borderId="0" xfId="29" applyFont="1" applyFill="1" applyAlignment="1">
      <alignment horizontal="right"/>
      <protection/>
    </xf>
    <xf numFmtId="0" fontId="37" fillId="0" borderId="0" xfId="29" applyFont="1" applyAlignment="1">
      <alignment horizontal="center"/>
      <protection/>
    </xf>
    <xf numFmtId="0" fontId="31" fillId="0" borderId="0" xfId="29" applyFont="1" applyAlignment="1">
      <alignment horizontal="center"/>
      <protection/>
    </xf>
    <xf numFmtId="0" fontId="2" fillId="0" borderId="0" xfId="29" applyFont="1" applyAlignment="1">
      <alignment horizontal="center"/>
      <protection/>
    </xf>
    <xf numFmtId="0" fontId="2" fillId="0" borderId="0" xfId="29" applyFont="1" applyAlignment="1">
      <alignment horizontal="center"/>
      <protection/>
    </xf>
    <xf numFmtId="0" fontId="47" fillId="0" borderId="0" xfId="29" applyFont="1" applyAlignment="1">
      <alignment horizontal="right"/>
      <protection/>
    </xf>
    <xf numFmtId="0" fontId="2" fillId="0" borderId="0" xfId="30" applyFont="1" applyFill="1" applyAlignment="1">
      <alignment horizontal="right"/>
      <protection/>
    </xf>
    <xf numFmtId="0" fontId="37" fillId="0" borderId="0" xfId="30" applyFont="1" applyAlignment="1">
      <alignment horizontal="center"/>
      <protection/>
    </xf>
    <xf numFmtId="0" fontId="31" fillId="0" borderId="0" xfId="30" applyFont="1" applyAlignment="1">
      <alignment horizontal="center"/>
      <protection/>
    </xf>
    <xf numFmtId="0" fontId="2" fillId="0" borderId="0" xfId="30" applyFont="1" applyAlignment="1">
      <alignment horizontal="center"/>
      <protection/>
    </xf>
    <xf numFmtId="0" fontId="2" fillId="0" borderId="0" xfId="30" applyFont="1" applyAlignment="1">
      <alignment horizontal="center"/>
      <protection/>
    </xf>
    <xf numFmtId="0" fontId="47" fillId="0" borderId="0" xfId="30" applyFont="1" applyAlignment="1">
      <alignment horizontal="right"/>
      <protection/>
    </xf>
    <xf numFmtId="0" fontId="2" fillId="0" borderId="0" xfId="31" applyFont="1" applyFill="1" applyAlignment="1">
      <alignment horizontal="right"/>
      <protection/>
    </xf>
    <xf numFmtId="0" fontId="37" fillId="0" borderId="0" xfId="31" applyFont="1" applyAlignment="1">
      <alignment horizontal="center"/>
      <protection/>
    </xf>
    <xf numFmtId="0" fontId="31" fillId="0" borderId="0" xfId="31" applyFont="1" applyAlignment="1">
      <alignment horizontal="center"/>
      <protection/>
    </xf>
    <xf numFmtId="0" fontId="2" fillId="0" borderId="0" xfId="31" applyFont="1" applyAlignment="1">
      <alignment horizontal="center"/>
      <protection/>
    </xf>
    <xf numFmtId="0" fontId="2" fillId="0" borderId="0" xfId="31" applyFont="1" applyAlignment="1">
      <alignment horizontal="center"/>
      <protection/>
    </xf>
    <xf numFmtId="0" fontId="47" fillId="0" borderId="0" xfId="31" applyFont="1" applyAlignment="1">
      <alignment horizontal="right"/>
      <protection/>
    </xf>
    <xf numFmtId="0" fontId="2" fillId="0" borderId="0" xfId="32" applyFont="1" applyAlignment="1">
      <alignment horizontal="center"/>
      <protection/>
    </xf>
    <xf numFmtId="0" fontId="10" fillId="0" borderId="0" xfId="32" applyFont="1" applyAlignment="1">
      <alignment horizontal="center" wrapText="1"/>
      <protection/>
    </xf>
    <xf numFmtId="0" fontId="10" fillId="0" borderId="0" xfId="32" applyFont="1" applyAlignment="1">
      <alignment horizontal="center"/>
      <protection/>
    </xf>
    <xf numFmtId="0" fontId="10" fillId="0" borderId="0" xfId="32" applyFont="1" applyAlignment="1">
      <alignment/>
      <protection/>
    </xf>
    <xf numFmtId="0" fontId="2" fillId="0" borderId="17" xfId="32" applyFont="1" applyFill="1" applyBorder="1" applyAlignment="1">
      <alignment wrapText="1"/>
      <protection/>
    </xf>
    <xf numFmtId="0" fontId="2" fillId="0" borderId="17" xfId="32" applyBorder="1" applyAlignment="1">
      <alignment wrapText="1"/>
      <protection/>
    </xf>
    <xf numFmtId="2" fontId="52" fillId="0" borderId="40" xfId="36" applyNumberFormat="1" applyFont="1" applyBorder="1" applyAlignment="1">
      <alignment horizontal="center" vertical="center" wrapText="1"/>
      <protection/>
    </xf>
    <xf numFmtId="0" fontId="2" fillId="0" borderId="36" xfId="36" applyBorder="1" applyAlignment="1">
      <alignment horizontal="center" vertical="center" wrapText="1"/>
      <protection/>
    </xf>
    <xf numFmtId="0" fontId="2" fillId="0" borderId="85" xfId="36" applyBorder="1" applyAlignment="1">
      <alignment horizontal="center" vertical="center" wrapText="1"/>
      <protection/>
    </xf>
    <xf numFmtId="49" fontId="54" fillId="0" borderId="0" xfId="36" applyNumberFormat="1" applyFont="1" applyFill="1" applyBorder="1" applyAlignment="1">
      <alignment horizontal="center" wrapText="1"/>
      <protection/>
    </xf>
    <xf numFmtId="0" fontId="55" fillId="0" borderId="0" xfId="36" applyFont="1" applyAlignment="1">
      <alignment horizontal="right"/>
      <protection/>
    </xf>
    <xf numFmtId="4" fontId="52" fillId="0" borderId="48" xfId="36" applyNumberFormat="1" applyFont="1" applyBorder="1" applyAlignment="1">
      <alignment horizontal="center" vertical="center" wrapText="1"/>
      <protection/>
    </xf>
    <xf numFmtId="0" fontId="2" fillId="0" borderId="49" xfId="36" applyBorder="1" applyAlignment="1">
      <alignment horizontal="center" vertical="center" wrapText="1"/>
      <protection/>
    </xf>
    <xf numFmtId="0" fontId="2" fillId="0" borderId="50" xfId="36" applyBorder="1" applyAlignment="1">
      <alignment horizontal="center" vertical="center" wrapText="1"/>
      <protection/>
    </xf>
    <xf numFmtId="2" fontId="52" fillId="0" borderId="37" xfId="36" applyNumberFormat="1" applyFont="1" applyBorder="1" applyAlignment="1">
      <alignment horizontal="center" vertical="center" wrapText="1"/>
      <protection/>
    </xf>
    <xf numFmtId="0" fontId="2" fillId="0" borderId="23" xfId="36" applyBorder="1" applyAlignment="1">
      <alignment horizontal="center" vertical="center" wrapText="1"/>
      <protection/>
    </xf>
    <xf numFmtId="0" fontId="2" fillId="0" borderId="44" xfId="36" applyBorder="1" applyAlignment="1">
      <alignment horizontal="center" vertical="center" wrapText="1"/>
      <protection/>
    </xf>
    <xf numFmtId="4" fontId="52" fillId="0" borderId="37" xfId="36" applyNumberFormat="1" applyFont="1" applyBorder="1" applyAlignment="1">
      <alignment horizontal="center" vertical="center" wrapText="1"/>
      <protection/>
    </xf>
    <xf numFmtId="0" fontId="55" fillId="0" borderId="0" xfId="37" applyFont="1" applyAlignment="1">
      <alignment horizontal="right"/>
      <protection/>
    </xf>
    <xf numFmtId="3" fontId="52" fillId="0" borderId="0" xfId="37" applyNumberFormat="1" applyFont="1" applyAlignment="1">
      <alignment horizontal="left"/>
      <protection/>
    </xf>
    <xf numFmtId="0" fontId="2" fillId="0" borderId="0" xfId="37" applyAlignment="1">
      <alignment/>
      <protection/>
    </xf>
    <xf numFmtId="49" fontId="54" fillId="0" borderId="0" xfId="37" applyNumberFormat="1" applyFont="1" applyBorder="1" applyAlignment="1">
      <alignment horizontal="center"/>
      <protection/>
    </xf>
    <xf numFmtId="0" fontId="52" fillId="0" borderId="0" xfId="37" applyFont="1" applyAlignment="1">
      <alignment horizontal="center"/>
      <protection/>
    </xf>
    <xf numFmtId="2" fontId="52" fillId="0" borderId="37" xfId="37" applyNumberFormat="1" applyFont="1" applyBorder="1" applyAlignment="1">
      <alignment horizontal="center" vertical="center" wrapText="1"/>
      <protection/>
    </xf>
    <xf numFmtId="0" fontId="2" fillId="0" borderId="23" xfId="37" applyBorder="1" applyAlignment="1">
      <alignment horizontal="center" vertical="center" wrapText="1"/>
      <protection/>
    </xf>
    <xf numFmtId="0" fontId="2" fillId="0" borderId="44" xfId="37" applyBorder="1" applyAlignment="1">
      <alignment horizontal="center" vertical="center" wrapText="1"/>
      <protection/>
    </xf>
  </cellXfs>
  <cellStyles count="27">
    <cellStyle name="Normal" xfId="0"/>
    <cellStyle name="Comma" xfId="15"/>
    <cellStyle name="Comma [0]" xfId="16"/>
    <cellStyle name="Hyperlink" xfId="17"/>
    <cellStyle name="Currency" xfId="18"/>
    <cellStyle name="Currency [0]" xfId="19"/>
    <cellStyle name="normální 3" xfId="20"/>
    <cellStyle name="normální_11.čerpání 1-12 09 já-Helena" xfId="21"/>
    <cellStyle name="normální_Investice 2008" xfId="22"/>
    <cellStyle name="normální_KÚ OK -  příloha č  9 - hasiči" xfId="23"/>
    <cellStyle name="normální_MF ČR - příloha č  9" xfId="24"/>
    <cellStyle name="normální_MK ČR - příloha č  9" xfId="25"/>
    <cellStyle name="normální_MPO ČR - příloha č  9" xfId="26"/>
    <cellStyle name="normální_MPSV ČR - příloha č  9" xfId="27"/>
    <cellStyle name="normální_MPSV ČR příloha č  9 - ÚZ 13305" xfId="28"/>
    <cellStyle name="normální_MV ČR - příloha č  9" xfId="29"/>
    <cellStyle name="normální_MZe ČR - příloha č  9" xfId="30"/>
    <cellStyle name="normální_MŽP ČR - příloha č  9" xfId="31"/>
    <cellStyle name="normální_Národní fond - příloha č  16" xfId="32"/>
    <cellStyle name="normální_Odbor 01 k 31.7.09" xfId="33"/>
    <cellStyle name="normální_rekapitulace" xfId="34"/>
    <cellStyle name="normální_Soupis příloh 2008" xfId="35"/>
    <cellStyle name="normální_SZU 2010 tab 1b pro KRAJ" xfId="36"/>
    <cellStyle name="normální_SZU 2010 tab 1d" xfId="37"/>
    <cellStyle name="normální_Tabulka tř  8 (výsledek r  2010)" xfId="38"/>
    <cellStyle name="Percent" xfId="39"/>
    <cellStyle name="Followed Hyperlink"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89</xdr:row>
      <xdr:rowOff>0</xdr:rowOff>
    </xdr:from>
    <xdr:to>
      <xdr:col>7</xdr:col>
      <xdr:colOff>0</xdr:colOff>
      <xdr:row>89</xdr:row>
      <xdr:rowOff>0</xdr:rowOff>
    </xdr:to>
    <xdr:sp>
      <xdr:nvSpPr>
        <xdr:cNvPr id="1" name="Line 1"/>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2" name="Line 2"/>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3" name="Line 3"/>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4" name="Line 4"/>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5" name="Line 5"/>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6" name="Line 6"/>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7" name="Line 7"/>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8" name="Line 8"/>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9" name="Line 9"/>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10" name="Line 10"/>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11" name="Line 11"/>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12" name="Line 12"/>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0</xdr:rowOff>
    </xdr:from>
    <xdr:to>
      <xdr:col>7</xdr:col>
      <xdr:colOff>0</xdr:colOff>
      <xdr:row>89</xdr:row>
      <xdr:rowOff>0</xdr:rowOff>
    </xdr:to>
    <xdr:sp>
      <xdr:nvSpPr>
        <xdr:cNvPr id="13" name="Line 13"/>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14" name="Line 14"/>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15" name="Line 15"/>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16" name="Line 16"/>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17" name="Line 17"/>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18" name="Line 18"/>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19" name="Line 19"/>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20" name="Line 20"/>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21" name="Line 21"/>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22" name="Line 22"/>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23" name="Line 23"/>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24" name="Line 24"/>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25" name="Line 25"/>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89</xdr:row>
      <xdr:rowOff>0</xdr:rowOff>
    </xdr:from>
    <xdr:to>
      <xdr:col>5</xdr:col>
      <xdr:colOff>342900</xdr:colOff>
      <xdr:row>89</xdr:row>
      <xdr:rowOff>0</xdr:rowOff>
    </xdr:to>
    <xdr:sp>
      <xdr:nvSpPr>
        <xdr:cNvPr id="26" name="Line 26"/>
        <xdr:cNvSpPr>
          <a:spLocks/>
        </xdr:cNvSpPr>
      </xdr:nvSpPr>
      <xdr:spPr>
        <a:xfrm>
          <a:off x="1733550"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27" name="Line 27"/>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28" name="Line 28"/>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29" name="Line 29"/>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30" name="Line 30"/>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31" name="Line 31"/>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32" name="Line 32"/>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33" name="Line 33"/>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34" name="Line 34"/>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35" name="Line 35"/>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36" name="Line 36"/>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37" name="Line 37"/>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38" name="Line 38"/>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39" name="Line 39"/>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40" name="Line 40"/>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41" name="Line 41"/>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42" name="Line 42"/>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43" name="Line 43"/>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44" name="Line 44"/>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45" name="Line 45"/>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46" name="Line 46"/>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47" name="Line 47"/>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48" name="Line 48"/>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49" name="Line 49"/>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50" name="Line 50"/>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51" name="Line 51"/>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52" name="Line 52"/>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53" name="Line 53"/>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54" name="Line 54"/>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55" name="Line 55"/>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56" name="Line 56"/>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57" name="Line 57"/>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58" name="Line 58"/>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59" name="Line 59"/>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60" name="Line 60"/>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61" name="Line 61"/>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62" name="Line 62"/>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63" name="Line 63"/>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64" name="Line 64"/>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65" name="Line 65"/>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66" name="Line 66"/>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67" name="Line 67"/>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68" name="Line 68"/>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69" name="Line 69"/>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70" name="Line 70"/>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71" name="Line 71"/>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72" name="Line 72"/>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73" name="Line 73"/>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74" name="Line 74"/>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75" name="Line 75"/>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76" name="Line 76"/>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77" name="Line 77"/>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78" name="Line 78"/>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79" name="Line 79"/>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80" name="Line 80"/>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81" name="Line 81"/>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82" name="Line 82"/>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83" name="Line 83"/>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84" name="Line 84"/>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85" name="Line 85"/>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86" name="Line 86"/>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87" name="Line 87"/>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88" name="Line 88"/>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89" name="Line 89"/>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90" name="Line 90"/>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89</xdr:row>
      <xdr:rowOff>0</xdr:rowOff>
    </xdr:from>
    <xdr:to>
      <xdr:col>19</xdr:col>
      <xdr:colOff>342900</xdr:colOff>
      <xdr:row>89</xdr:row>
      <xdr:rowOff>0</xdr:rowOff>
    </xdr:to>
    <xdr:sp>
      <xdr:nvSpPr>
        <xdr:cNvPr id="91" name="Line 91"/>
        <xdr:cNvSpPr>
          <a:spLocks/>
        </xdr:cNvSpPr>
      </xdr:nvSpPr>
      <xdr:spPr>
        <a:xfrm>
          <a:off x="9458325" y="17602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92" name="Line 92"/>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93" name="Line 93"/>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94" name="Line 94"/>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95" name="Line 95"/>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96" name="Line 96"/>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97" name="Line 97"/>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98" name="Line 98"/>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99" name="Line 99"/>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100" name="Line 100"/>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101" name="Line 101"/>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102" name="Line 102"/>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103" name="Line 103"/>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89</xdr:row>
      <xdr:rowOff>0</xdr:rowOff>
    </xdr:from>
    <xdr:to>
      <xdr:col>6</xdr:col>
      <xdr:colOff>285750</xdr:colOff>
      <xdr:row>89</xdr:row>
      <xdr:rowOff>0</xdr:rowOff>
    </xdr:to>
    <xdr:sp>
      <xdr:nvSpPr>
        <xdr:cNvPr id="104" name="Line 104"/>
        <xdr:cNvSpPr>
          <a:spLocks/>
        </xdr:cNvSpPr>
      </xdr:nvSpPr>
      <xdr:spPr>
        <a:xfrm>
          <a:off x="5876925" y="1760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05" name="Line 105"/>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06" name="Line 106"/>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07" name="Line 107"/>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08" name="Line 108"/>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09" name="Line 109"/>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10" name="Line 110"/>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11" name="Line 111"/>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12" name="Line 112"/>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13" name="Line 113"/>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14" name="Line 114"/>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15" name="Line 115"/>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16" name="Line 116"/>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0</xdr:rowOff>
    </xdr:from>
    <xdr:to>
      <xdr:col>7</xdr:col>
      <xdr:colOff>0</xdr:colOff>
      <xdr:row>79</xdr:row>
      <xdr:rowOff>0</xdr:rowOff>
    </xdr:to>
    <xdr:sp>
      <xdr:nvSpPr>
        <xdr:cNvPr id="117" name="Line 117"/>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18" name="Line 118"/>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19" name="Line 119"/>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20" name="Line 120"/>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21" name="Line 121"/>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22" name="Line 122"/>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23" name="Line 123"/>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24" name="Line 124"/>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25" name="Line 125"/>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26" name="Line 126"/>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27" name="Line 127"/>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28" name="Line 128"/>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29" name="Line 129"/>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79</xdr:row>
      <xdr:rowOff>0</xdr:rowOff>
    </xdr:from>
    <xdr:to>
      <xdr:col>5</xdr:col>
      <xdr:colOff>342900</xdr:colOff>
      <xdr:row>79</xdr:row>
      <xdr:rowOff>0</xdr:rowOff>
    </xdr:to>
    <xdr:sp>
      <xdr:nvSpPr>
        <xdr:cNvPr id="130" name="Line 130"/>
        <xdr:cNvSpPr>
          <a:spLocks/>
        </xdr:cNvSpPr>
      </xdr:nvSpPr>
      <xdr:spPr>
        <a:xfrm>
          <a:off x="1733550"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31" name="Line 131"/>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32" name="Line 132"/>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33" name="Line 133"/>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34" name="Line 134"/>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35" name="Line 135"/>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36" name="Line 136"/>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37" name="Line 137"/>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38" name="Line 138"/>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39" name="Line 139"/>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40" name="Line 140"/>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41" name="Line 141"/>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42" name="Line 142"/>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43" name="Line 143"/>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44" name="Line 144"/>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45" name="Line 145"/>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46" name="Line 146"/>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47" name="Line 147"/>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48" name="Line 148"/>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49" name="Line 149"/>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50" name="Line 150"/>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51" name="Line 151"/>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52" name="Line 152"/>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53" name="Line 153"/>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54" name="Line 154"/>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55" name="Line 155"/>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56" name="Line 156"/>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57" name="Line 157"/>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58" name="Line 158"/>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59" name="Line 159"/>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60" name="Line 160"/>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61" name="Line 161"/>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62" name="Line 162"/>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63" name="Line 163"/>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64" name="Line 164"/>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65" name="Line 165"/>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66" name="Line 166"/>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67" name="Line 167"/>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68" name="Line 168"/>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69" name="Line 169"/>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70" name="Line 170"/>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71" name="Line 171"/>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72" name="Line 172"/>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73" name="Line 173"/>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74" name="Line 174"/>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75" name="Line 175"/>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76" name="Line 176"/>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77" name="Line 177"/>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78" name="Line 178"/>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79" name="Line 179"/>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80" name="Line 180"/>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81" name="Line 181"/>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82" name="Line 182"/>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83" name="Line 183"/>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84" name="Line 184"/>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85" name="Line 185"/>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86" name="Line 186"/>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87" name="Line 187"/>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88" name="Line 188"/>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89" name="Line 189"/>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90" name="Line 190"/>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91" name="Line 191"/>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92" name="Line 192"/>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93" name="Line 193"/>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94" name="Line 194"/>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79</xdr:row>
      <xdr:rowOff>0</xdr:rowOff>
    </xdr:from>
    <xdr:to>
      <xdr:col>19</xdr:col>
      <xdr:colOff>342900</xdr:colOff>
      <xdr:row>79</xdr:row>
      <xdr:rowOff>0</xdr:rowOff>
    </xdr:to>
    <xdr:sp>
      <xdr:nvSpPr>
        <xdr:cNvPr id="195" name="Line 195"/>
        <xdr:cNvSpPr>
          <a:spLocks/>
        </xdr:cNvSpPr>
      </xdr:nvSpPr>
      <xdr:spPr>
        <a:xfrm>
          <a:off x="9458325" y="1569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96" name="Line 196"/>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97" name="Line 197"/>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98" name="Line 198"/>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199" name="Line 199"/>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200" name="Line 200"/>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201" name="Line 201"/>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202" name="Line 202"/>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203" name="Line 203"/>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204" name="Line 204"/>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205" name="Line 205"/>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206" name="Line 206"/>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207" name="Line 207"/>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79</xdr:row>
      <xdr:rowOff>0</xdr:rowOff>
    </xdr:from>
    <xdr:to>
      <xdr:col>6</xdr:col>
      <xdr:colOff>285750</xdr:colOff>
      <xdr:row>79</xdr:row>
      <xdr:rowOff>0</xdr:rowOff>
    </xdr:to>
    <xdr:sp>
      <xdr:nvSpPr>
        <xdr:cNvPr id="208" name="Line 208"/>
        <xdr:cNvSpPr>
          <a:spLocks/>
        </xdr:cNvSpPr>
      </xdr:nvSpPr>
      <xdr:spPr>
        <a:xfrm>
          <a:off x="5876925"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19</xdr:row>
      <xdr:rowOff>0</xdr:rowOff>
    </xdr:from>
    <xdr:to>
      <xdr:col>7</xdr:col>
      <xdr:colOff>0</xdr:colOff>
      <xdr:row>19</xdr:row>
      <xdr:rowOff>0</xdr:rowOff>
    </xdr:to>
    <xdr:sp>
      <xdr:nvSpPr>
        <xdr:cNvPr id="1" name="Line 1"/>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2" name="Line 2"/>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3" name="Line 3"/>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4" name="Line 4"/>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5" name="Line 5"/>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6" name="Line 6"/>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7" name="Line 7"/>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8" name="Line 8"/>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9" name="Line 9"/>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10" name="Line 10"/>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11" name="Line 11"/>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12" name="Line 12"/>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13" name="Line 13"/>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14" name="Line 14"/>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15" name="Line 15"/>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16" name="Line 16"/>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17" name="Line 17"/>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18" name="Line 18"/>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19" name="Line 19"/>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20" name="Line 20"/>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21" name="Line 21"/>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22" name="Line 22"/>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23" name="Line 23"/>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24" name="Line 24"/>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25" name="Line 25"/>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19</xdr:row>
      <xdr:rowOff>0</xdr:rowOff>
    </xdr:from>
    <xdr:to>
      <xdr:col>5</xdr:col>
      <xdr:colOff>342900</xdr:colOff>
      <xdr:row>19</xdr:row>
      <xdr:rowOff>0</xdr:rowOff>
    </xdr:to>
    <xdr:sp>
      <xdr:nvSpPr>
        <xdr:cNvPr id="26" name="Line 26"/>
        <xdr:cNvSpPr>
          <a:spLocks/>
        </xdr:cNvSpPr>
      </xdr:nvSpPr>
      <xdr:spPr>
        <a:xfrm>
          <a:off x="17049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27" name="Line 27"/>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28" name="Line 28"/>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29" name="Line 29"/>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30" name="Line 30"/>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31" name="Line 31"/>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32" name="Line 32"/>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33" name="Line 33"/>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34" name="Line 34"/>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35" name="Line 35"/>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36" name="Line 36"/>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37" name="Line 37"/>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38" name="Line 38"/>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39" name="Line 39"/>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40" name="Line 40"/>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41" name="Line 41"/>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42" name="Line 42"/>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43" name="Line 43"/>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44" name="Line 44"/>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45" name="Line 45"/>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46" name="Line 46"/>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47" name="Line 47"/>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48" name="Line 48"/>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49" name="Line 49"/>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50" name="Line 50"/>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51" name="Line 51"/>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52" name="Line 52"/>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53" name="Line 53"/>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54" name="Line 54"/>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55" name="Line 55"/>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56" name="Line 56"/>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57" name="Line 57"/>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58" name="Line 58"/>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59" name="Line 59"/>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60" name="Line 60"/>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61" name="Line 61"/>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62" name="Line 62"/>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63" name="Line 63"/>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64" name="Line 64"/>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65" name="Line 65"/>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66" name="Line 66"/>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67" name="Line 67"/>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68" name="Line 68"/>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69" name="Line 69"/>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70" name="Line 70"/>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71" name="Line 71"/>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72" name="Line 72"/>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73" name="Line 73"/>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74" name="Line 74"/>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75" name="Line 75"/>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76" name="Line 76"/>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77" name="Line 77"/>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78" name="Line 78"/>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79" name="Line 79"/>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80" name="Line 80"/>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81" name="Line 81"/>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82" name="Line 82"/>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83" name="Line 83"/>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84" name="Line 84"/>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85" name="Line 85"/>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86" name="Line 86"/>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87" name="Line 87"/>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88" name="Line 88"/>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89" name="Line 89"/>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90" name="Line 90"/>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19</xdr:row>
      <xdr:rowOff>0</xdr:rowOff>
    </xdr:from>
    <xdr:to>
      <xdr:col>18</xdr:col>
      <xdr:colOff>342900</xdr:colOff>
      <xdr:row>19</xdr:row>
      <xdr:rowOff>0</xdr:rowOff>
    </xdr:to>
    <xdr:sp>
      <xdr:nvSpPr>
        <xdr:cNvPr id="91" name="Line 91"/>
        <xdr:cNvSpPr>
          <a:spLocks/>
        </xdr:cNvSpPr>
      </xdr:nvSpPr>
      <xdr:spPr>
        <a:xfrm>
          <a:off x="9286875" y="4143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92" name="Line 92"/>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93" name="Line 93"/>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94" name="Line 94"/>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95" name="Line 95"/>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96" name="Line 96"/>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97" name="Line 97"/>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98" name="Line 98"/>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99" name="Line 99"/>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100" name="Line 100"/>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101" name="Line 101"/>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102" name="Line 102"/>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103" name="Line 103"/>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19</xdr:row>
      <xdr:rowOff>0</xdr:rowOff>
    </xdr:from>
    <xdr:to>
      <xdr:col>6</xdr:col>
      <xdr:colOff>285750</xdr:colOff>
      <xdr:row>19</xdr:row>
      <xdr:rowOff>0</xdr:rowOff>
    </xdr:to>
    <xdr:sp>
      <xdr:nvSpPr>
        <xdr:cNvPr id="104" name="Line 104"/>
        <xdr:cNvSpPr>
          <a:spLocks/>
        </xdr:cNvSpPr>
      </xdr:nvSpPr>
      <xdr:spPr>
        <a:xfrm>
          <a:off x="5848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05" name="Line 105"/>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06" name="Line 106"/>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07" name="Line 107"/>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08" name="Line 108"/>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09" name="Line 109"/>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10" name="Line 110"/>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11" name="Line 111"/>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12" name="Line 112"/>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13" name="Line 113"/>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14" name="Line 114"/>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15" name="Line 115"/>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16" name="Line 116"/>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0</xdr:rowOff>
    </xdr:from>
    <xdr:to>
      <xdr:col>7</xdr:col>
      <xdr:colOff>0</xdr:colOff>
      <xdr:row>83</xdr:row>
      <xdr:rowOff>0</xdr:rowOff>
    </xdr:to>
    <xdr:sp>
      <xdr:nvSpPr>
        <xdr:cNvPr id="117" name="Line 117"/>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18" name="Line 118"/>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19" name="Line 119"/>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20" name="Line 120"/>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21" name="Line 121"/>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22" name="Line 122"/>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23" name="Line 123"/>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24" name="Line 124"/>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25" name="Line 125"/>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26" name="Line 126"/>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27" name="Line 127"/>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28" name="Line 128"/>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29" name="Line 129"/>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83</xdr:row>
      <xdr:rowOff>0</xdr:rowOff>
    </xdr:from>
    <xdr:to>
      <xdr:col>5</xdr:col>
      <xdr:colOff>342900</xdr:colOff>
      <xdr:row>83</xdr:row>
      <xdr:rowOff>0</xdr:rowOff>
    </xdr:to>
    <xdr:sp>
      <xdr:nvSpPr>
        <xdr:cNvPr id="130" name="Line 130"/>
        <xdr:cNvSpPr>
          <a:spLocks/>
        </xdr:cNvSpPr>
      </xdr:nvSpPr>
      <xdr:spPr>
        <a:xfrm>
          <a:off x="17049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31" name="Line 131"/>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32" name="Line 132"/>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33" name="Line 133"/>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34" name="Line 134"/>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35" name="Line 135"/>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36" name="Line 136"/>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37" name="Line 137"/>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38" name="Line 138"/>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39" name="Line 139"/>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40" name="Line 140"/>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41" name="Line 141"/>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42" name="Line 142"/>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43" name="Line 143"/>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44" name="Line 144"/>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45" name="Line 145"/>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46" name="Line 146"/>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47" name="Line 147"/>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48" name="Line 148"/>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49" name="Line 149"/>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50" name="Line 150"/>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51" name="Line 151"/>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52" name="Line 152"/>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53" name="Line 153"/>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54" name="Line 154"/>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55" name="Line 155"/>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56" name="Line 156"/>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57" name="Line 157"/>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58" name="Line 158"/>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59" name="Line 159"/>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60" name="Line 160"/>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61" name="Line 161"/>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62" name="Line 162"/>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63" name="Line 163"/>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64" name="Line 164"/>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65" name="Line 165"/>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66" name="Line 166"/>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67" name="Line 167"/>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68" name="Line 168"/>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69" name="Line 169"/>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70" name="Line 170"/>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71" name="Line 171"/>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72" name="Line 172"/>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73" name="Line 173"/>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74" name="Line 174"/>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75" name="Line 175"/>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76" name="Line 176"/>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77" name="Line 177"/>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78" name="Line 178"/>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79" name="Line 179"/>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80" name="Line 180"/>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81" name="Line 181"/>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82" name="Line 182"/>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83" name="Line 183"/>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84" name="Line 184"/>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85" name="Line 185"/>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86" name="Line 186"/>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87" name="Line 187"/>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88" name="Line 188"/>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89" name="Line 189"/>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90" name="Line 190"/>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91" name="Line 191"/>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92" name="Line 192"/>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93" name="Line 193"/>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94" name="Line 194"/>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83</xdr:row>
      <xdr:rowOff>0</xdr:rowOff>
    </xdr:from>
    <xdr:to>
      <xdr:col>18</xdr:col>
      <xdr:colOff>342900</xdr:colOff>
      <xdr:row>83</xdr:row>
      <xdr:rowOff>0</xdr:rowOff>
    </xdr:to>
    <xdr:sp>
      <xdr:nvSpPr>
        <xdr:cNvPr id="195" name="Line 195"/>
        <xdr:cNvSpPr>
          <a:spLocks/>
        </xdr:cNvSpPr>
      </xdr:nvSpPr>
      <xdr:spPr>
        <a:xfrm>
          <a:off x="9286875" y="16335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96" name="Line 196"/>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97" name="Line 197"/>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98" name="Line 198"/>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199" name="Line 199"/>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200" name="Line 200"/>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201" name="Line 201"/>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202" name="Line 202"/>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203" name="Line 203"/>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204" name="Line 204"/>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205" name="Line 205"/>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206" name="Line 206"/>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207" name="Line 207"/>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83</xdr:row>
      <xdr:rowOff>0</xdr:rowOff>
    </xdr:from>
    <xdr:to>
      <xdr:col>6</xdr:col>
      <xdr:colOff>285750</xdr:colOff>
      <xdr:row>83</xdr:row>
      <xdr:rowOff>0</xdr:rowOff>
    </xdr:to>
    <xdr:sp>
      <xdr:nvSpPr>
        <xdr:cNvPr id="208" name="Line 208"/>
        <xdr:cNvSpPr>
          <a:spLocks/>
        </xdr:cNvSpPr>
      </xdr:nvSpPr>
      <xdr:spPr>
        <a:xfrm>
          <a:off x="5848350" y="1633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0</xdr:colOff>
      <xdr:row>1</xdr:row>
      <xdr:rowOff>0</xdr:rowOff>
    </xdr:to>
    <xdr:sp>
      <xdr:nvSpPr>
        <xdr:cNvPr id="1" name="Line 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2" name="Line 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3" name="Line 3"/>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4" name="Line 4"/>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5" name="Line 5"/>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6" name="Line 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7" name="Line 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8" name="Line 8"/>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9" name="Line 9"/>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0" name="Line 10"/>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1" name="Line 1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2" name="Line 1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3" name="Line 13"/>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4" name="Line 14"/>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5" name="Line 15"/>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6" name="Line 16"/>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7" name="Line 17"/>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8" name="Line 18"/>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9" name="Line 19"/>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0" name="Line 20"/>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1" name="Line 21"/>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2" name="Line 22"/>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3" name="Line 23"/>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4" name="Line 24"/>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5" name="Line 25"/>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6" name="Line 26"/>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27" name="Line 27"/>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28" name="Line 28"/>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29" name="Line 29"/>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30" name="Line 30"/>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31" name="Line 31"/>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32" name="Line 32"/>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33" name="Line 33"/>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34" name="Line 34"/>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35" name="Line 35"/>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36" name="Line 36"/>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37" name="Line 37"/>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38" name="Line 38"/>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39" name="Line 39"/>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40" name="Line 40"/>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41" name="Line 4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42" name="Line 4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43" name="Line 43"/>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44" name="Line 44"/>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45" name="Line 45"/>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46" name="Line 4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47" name="Line 4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48" name="Line 48"/>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49" name="Line 49"/>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50" name="Line 50"/>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51" name="Line 5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52" name="Line 5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53" name="Line 53"/>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54" name="Line 54"/>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55" name="Line 55"/>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56" name="Line 56"/>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57" name="Line 57"/>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58" name="Line 58"/>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59" name="Line 59"/>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60" name="Line 60"/>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61" name="Line 61"/>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62" name="Line 62"/>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63" name="Line 63"/>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64" name="Line 64"/>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65" name="Line 65"/>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66" name="Line 6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67" name="Line 6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68" name="Line 68"/>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69" name="Line 69"/>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70" name="Line 70"/>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71" name="Line 7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72" name="Line 7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73" name="Line 73"/>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74" name="Line 74"/>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75" name="Line 75"/>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76" name="Line 7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77" name="Line 7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78" name="Line 78"/>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79" name="Line 79"/>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80" name="Line 80"/>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81" name="Line 81"/>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82" name="Line 82"/>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83" name="Line 83"/>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84" name="Line 84"/>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85" name="Line 85"/>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86" name="Line 86"/>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87" name="Line 87"/>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88" name="Line 88"/>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89" name="Line 89"/>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90" name="Line 90"/>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91" name="Line 91"/>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92" name="Line 9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93" name="Line 93"/>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94" name="Line 94"/>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95" name="Line 95"/>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96" name="Line 9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97" name="Line 9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98" name="Line 98"/>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99" name="Line 99"/>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00" name="Line 100"/>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01" name="Line 10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02" name="Line 10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03" name="Line 103"/>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04" name="Line 104"/>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05" name="Line 105"/>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06" name="Line 10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07" name="Line 10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08" name="Line 108"/>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09" name="Line 109"/>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10" name="Line 110"/>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11" name="Line 11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12" name="Line 11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13" name="Line 113"/>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14" name="Line 114"/>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15" name="Line 115"/>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16" name="Line 11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117" name="Line 11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18" name="Line 118"/>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19" name="Line 119"/>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0" name="Line 120"/>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1" name="Line 121"/>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2" name="Line 122"/>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3" name="Line 123"/>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4" name="Line 124"/>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5" name="Line 125"/>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6" name="Line 126"/>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7" name="Line 127"/>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8" name="Line 128"/>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9" name="Line 129"/>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30" name="Line 130"/>
        <xdr:cNvSpPr>
          <a:spLocks/>
        </xdr:cNvSpPr>
      </xdr:nvSpPr>
      <xdr:spPr>
        <a:xfrm>
          <a:off x="1762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31" name="Line 131"/>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32" name="Line 132"/>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33" name="Line 133"/>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34" name="Line 134"/>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35" name="Line 135"/>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36" name="Line 136"/>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37" name="Line 137"/>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38" name="Line 138"/>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39" name="Line 139"/>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40" name="Line 140"/>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41" name="Line 141"/>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42" name="Line 142"/>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43" name="Line 143"/>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44" name="Line 144"/>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45" name="Line 145"/>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46" name="Line 14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47" name="Line 14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48" name="Line 148"/>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49" name="Line 149"/>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50" name="Line 150"/>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51" name="Line 15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52" name="Line 15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53" name="Line 153"/>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54" name="Line 154"/>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55" name="Line 155"/>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56" name="Line 15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57" name="Line 157"/>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58" name="Line 158"/>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59" name="Line 159"/>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60" name="Line 160"/>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61" name="Line 161"/>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62" name="Line 162"/>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63" name="Line 163"/>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64" name="Line 164"/>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65" name="Line 165"/>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66" name="Line 166"/>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67" name="Line 167"/>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68" name="Line 168"/>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69" name="Line 169"/>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70" name="Line 170"/>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71" name="Line 17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72" name="Line 17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73" name="Line 173"/>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74" name="Line 174"/>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75" name="Line 175"/>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76" name="Line 17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77" name="Line 17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78" name="Line 178"/>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79" name="Line 179"/>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80" name="Line 180"/>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81" name="Line 18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82" name="Line 18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83" name="Line 183"/>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84" name="Line 184"/>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85" name="Line 185"/>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86" name="Line 186"/>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87" name="Line 187"/>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88" name="Line 188"/>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89" name="Line 189"/>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90" name="Line 190"/>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91" name="Line 191"/>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92" name="Line 192"/>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93" name="Line 193"/>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94" name="Line 194"/>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1</xdr:row>
      <xdr:rowOff>0</xdr:rowOff>
    </xdr:from>
    <xdr:to>
      <xdr:col>19</xdr:col>
      <xdr:colOff>342900</xdr:colOff>
      <xdr:row>1</xdr:row>
      <xdr:rowOff>0</xdr:rowOff>
    </xdr:to>
    <xdr:sp>
      <xdr:nvSpPr>
        <xdr:cNvPr id="195" name="Line 195"/>
        <xdr:cNvSpPr>
          <a:spLocks/>
        </xdr:cNvSpPr>
      </xdr:nvSpPr>
      <xdr:spPr>
        <a:xfrm>
          <a:off x="88201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96" name="Line 19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97" name="Line 19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98" name="Line 198"/>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199" name="Line 199"/>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200" name="Line 200"/>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201" name="Line 201"/>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202" name="Line 202"/>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203" name="Line 203"/>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204" name="Line 204"/>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205" name="Line 205"/>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206" name="Line 206"/>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207" name="Line 207"/>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xdr:row>
      <xdr:rowOff>0</xdr:rowOff>
    </xdr:from>
    <xdr:to>
      <xdr:col>6</xdr:col>
      <xdr:colOff>285750</xdr:colOff>
      <xdr:row>1</xdr:row>
      <xdr:rowOff>0</xdr:rowOff>
    </xdr:to>
    <xdr:sp>
      <xdr:nvSpPr>
        <xdr:cNvPr id="208" name="Line 208"/>
        <xdr:cNvSpPr>
          <a:spLocks/>
        </xdr:cNvSpPr>
      </xdr:nvSpPr>
      <xdr:spPr>
        <a:xfrm>
          <a:off x="5438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7</xdr:col>
      <xdr:colOff>0</xdr:colOff>
      <xdr:row>2</xdr:row>
      <xdr:rowOff>0</xdr:rowOff>
    </xdr:to>
    <xdr:sp>
      <xdr:nvSpPr>
        <xdr:cNvPr id="1" name="Line 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2" name="Line 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4" name="Line 4"/>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5" name="Line 5"/>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6" name="Line 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7" name="Line 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8" name="Line 8"/>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9" name="Line 9"/>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0" name="Line 10"/>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1" name="Line 1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2" name="Line 1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3" name="Line 13"/>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4" name="Line 14"/>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5" name="Line 15"/>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6" name="Line 16"/>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7" name="Line 17"/>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8" name="Line 18"/>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9" name="Line 19"/>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20" name="Line 20"/>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21" name="Line 21"/>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22" name="Line 22"/>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23" name="Line 23"/>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24" name="Line 24"/>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25" name="Line 25"/>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26" name="Line 26"/>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27" name="Line 27"/>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28" name="Line 28"/>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29" name="Line 29"/>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30" name="Line 30"/>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31" name="Line 31"/>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32" name="Line 32"/>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33" name="Line 33"/>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34" name="Line 34"/>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35" name="Line 35"/>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36" name="Line 36"/>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37" name="Line 37"/>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38" name="Line 38"/>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39" name="Line 39"/>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40" name="Line 40"/>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41" name="Line 4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42" name="Line 4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43" name="Line 43"/>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44" name="Line 44"/>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45" name="Line 45"/>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46" name="Line 4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47" name="Line 4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48" name="Line 48"/>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49" name="Line 49"/>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50" name="Line 50"/>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51" name="Line 5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52" name="Line 5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53" name="Line 53"/>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54" name="Line 54"/>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55" name="Line 55"/>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56" name="Line 56"/>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57" name="Line 57"/>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58" name="Line 58"/>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59" name="Line 59"/>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60" name="Line 60"/>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61" name="Line 61"/>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62" name="Line 62"/>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63" name="Line 63"/>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64" name="Line 64"/>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65" name="Line 65"/>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66" name="Line 6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67" name="Line 6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68" name="Line 68"/>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69" name="Line 69"/>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70" name="Line 70"/>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71" name="Line 7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72" name="Line 7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73" name="Line 73"/>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74" name="Line 74"/>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75" name="Line 75"/>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76" name="Line 7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77" name="Line 7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78" name="Line 78"/>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79" name="Line 79"/>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80" name="Line 80"/>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81" name="Line 81"/>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82" name="Line 82"/>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83" name="Line 83"/>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84" name="Line 84"/>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85" name="Line 85"/>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86" name="Line 86"/>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87" name="Line 87"/>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88" name="Line 88"/>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89" name="Line 89"/>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90" name="Line 90"/>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91" name="Line 91"/>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92" name="Line 9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93" name="Line 93"/>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94" name="Line 94"/>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95" name="Line 95"/>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96" name="Line 9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97" name="Line 9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98" name="Line 98"/>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99" name="Line 99"/>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00" name="Line 100"/>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01" name="Line 10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02" name="Line 10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03" name="Line 103"/>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04" name="Line 104"/>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05" name="Line 105"/>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06" name="Line 10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07" name="Line 10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08" name="Line 108"/>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09" name="Line 109"/>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10" name="Line 110"/>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11" name="Line 11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12" name="Line 11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13" name="Line 113"/>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14" name="Line 114"/>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15" name="Line 115"/>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16" name="Line 11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17" name="Line 11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18" name="Line 118"/>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19" name="Line 119"/>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20" name="Line 120"/>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21" name="Line 121"/>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22" name="Line 122"/>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23" name="Line 123"/>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24" name="Line 124"/>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25" name="Line 125"/>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26" name="Line 126"/>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27" name="Line 127"/>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28" name="Line 128"/>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29" name="Line 129"/>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xdr:row>
      <xdr:rowOff>0</xdr:rowOff>
    </xdr:from>
    <xdr:to>
      <xdr:col>5</xdr:col>
      <xdr:colOff>342900</xdr:colOff>
      <xdr:row>2</xdr:row>
      <xdr:rowOff>0</xdr:rowOff>
    </xdr:to>
    <xdr:sp>
      <xdr:nvSpPr>
        <xdr:cNvPr id="130" name="Line 130"/>
        <xdr:cNvSpPr>
          <a:spLocks/>
        </xdr:cNvSpPr>
      </xdr:nvSpPr>
      <xdr:spPr>
        <a:xfrm>
          <a:off x="180022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31" name="Line 131"/>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32" name="Line 132"/>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33" name="Line 133"/>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34" name="Line 134"/>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35" name="Line 135"/>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36" name="Line 136"/>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37" name="Line 137"/>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38" name="Line 138"/>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39" name="Line 139"/>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40" name="Line 140"/>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41" name="Line 141"/>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42" name="Line 142"/>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43" name="Line 143"/>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44" name="Line 144"/>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45" name="Line 145"/>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46" name="Line 14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47" name="Line 14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48" name="Line 148"/>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49" name="Line 149"/>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50" name="Line 150"/>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51" name="Line 15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52" name="Line 15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53" name="Line 153"/>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54" name="Line 154"/>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55" name="Line 155"/>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56" name="Line 15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57" name="Line 157"/>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58" name="Line 158"/>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59" name="Line 159"/>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60" name="Line 160"/>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61" name="Line 161"/>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62" name="Line 162"/>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63" name="Line 163"/>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64" name="Line 164"/>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65" name="Line 165"/>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66" name="Line 166"/>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67" name="Line 167"/>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68" name="Line 168"/>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69" name="Line 169"/>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70" name="Line 170"/>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71" name="Line 17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72" name="Line 17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73" name="Line 173"/>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74" name="Line 174"/>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75" name="Line 175"/>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76" name="Line 17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77" name="Line 17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78" name="Line 178"/>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79" name="Line 179"/>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80" name="Line 180"/>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81" name="Line 18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82" name="Line 18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83" name="Line 183"/>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84" name="Line 184"/>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85" name="Line 185"/>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86" name="Line 186"/>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87" name="Line 187"/>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88" name="Line 188"/>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89" name="Line 189"/>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90" name="Line 190"/>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91" name="Line 191"/>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92" name="Line 192"/>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93" name="Line 193"/>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94" name="Line 194"/>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xdr:row>
      <xdr:rowOff>0</xdr:rowOff>
    </xdr:from>
    <xdr:to>
      <xdr:col>14</xdr:col>
      <xdr:colOff>342900</xdr:colOff>
      <xdr:row>2</xdr:row>
      <xdr:rowOff>0</xdr:rowOff>
    </xdr:to>
    <xdr:sp>
      <xdr:nvSpPr>
        <xdr:cNvPr id="195" name="Line 195"/>
        <xdr:cNvSpPr>
          <a:spLocks/>
        </xdr:cNvSpPr>
      </xdr:nvSpPr>
      <xdr:spPr>
        <a:xfrm>
          <a:off x="9705975" y="714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96" name="Line 19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97" name="Line 19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98" name="Line 198"/>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199" name="Line 199"/>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200" name="Line 200"/>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201" name="Line 201"/>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202" name="Line 202"/>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203" name="Line 203"/>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204" name="Line 204"/>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205" name="Line 205"/>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206" name="Line 206"/>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207" name="Line 207"/>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xdr:row>
      <xdr:rowOff>0</xdr:rowOff>
    </xdr:from>
    <xdr:to>
      <xdr:col>6</xdr:col>
      <xdr:colOff>285750</xdr:colOff>
      <xdr:row>2</xdr:row>
      <xdr:rowOff>0</xdr:rowOff>
    </xdr:to>
    <xdr:sp>
      <xdr:nvSpPr>
        <xdr:cNvPr id="208" name="Line 208"/>
        <xdr:cNvSpPr>
          <a:spLocks/>
        </xdr:cNvSpPr>
      </xdr:nvSpPr>
      <xdr:spPr>
        <a:xfrm>
          <a:off x="59436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6</xdr:col>
      <xdr:colOff>0</xdr:colOff>
      <xdr:row>1</xdr:row>
      <xdr:rowOff>0</xdr:rowOff>
    </xdr:to>
    <xdr:sp>
      <xdr:nvSpPr>
        <xdr:cNvPr id="1" name="Line 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 name="Line 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3" name="Line 3"/>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 name="Line 4"/>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5" name="Line 5"/>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6" name="Line 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 name="Line 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8" name="Line 8"/>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9" name="Line 9"/>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 name="Line 10"/>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1" name="Line 1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2" name="Line 1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3" name="Line 13"/>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4" name="Line 14"/>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5" name="Line 15"/>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6" name="Line 16"/>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7" name="Line 17"/>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8" name="Line 18"/>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9" name="Line 19"/>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0" name="Line 20"/>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1" name="Line 21"/>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2" name="Line 22"/>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3" name="Line 23"/>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4" name="Line 24"/>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5" name="Line 25"/>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26" name="Line 26"/>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27" name="Line 27"/>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28" name="Line 28"/>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29" name="Line 29"/>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30" name="Line 30"/>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31" name="Line 31"/>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32" name="Line 32"/>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33" name="Line 33"/>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34" name="Line 34"/>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35" name="Line 35"/>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36" name="Line 36"/>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37" name="Line 37"/>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38" name="Line 38"/>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39" name="Line 39"/>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0" name="Line 40"/>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1" name="Line 4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2" name="Line 4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3" name="Line 43"/>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4" name="Line 44"/>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5" name="Line 45"/>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6" name="Line 4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7" name="Line 4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8" name="Line 48"/>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9" name="Line 49"/>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50" name="Line 50"/>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51" name="Line 5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52" name="Line 5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53" name="Line 53"/>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54" name="Line 54"/>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55" name="Line 55"/>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56" name="Line 56"/>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57" name="Line 57"/>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58" name="Line 58"/>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59" name="Line 59"/>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60" name="Line 60"/>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61" name="Line 61"/>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62" name="Line 62"/>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63" name="Line 63"/>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64" name="Line 64"/>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65" name="Line 65"/>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66" name="Line 6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67" name="Line 6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68" name="Line 68"/>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69" name="Line 69"/>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0" name="Line 70"/>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1" name="Line 7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2" name="Line 7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3" name="Line 73"/>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4" name="Line 74"/>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5" name="Line 75"/>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6" name="Line 7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7" name="Line 7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8" name="Line 78"/>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79" name="Line 79"/>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80" name="Line 80"/>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81" name="Line 81"/>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82" name="Line 82"/>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83" name="Line 83"/>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84" name="Line 84"/>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85" name="Line 85"/>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86" name="Line 86"/>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87" name="Line 87"/>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88" name="Line 88"/>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89" name="Line 89"/>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90" name="Line 90"/>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91" name="Line 91"/>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92" name="Line 9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93" name="Line 93"/>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94" name="Line 94"/>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95" name="Line 95"/>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96" name="Line 9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97" name="Line 9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98" name="Line 98"/>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99" name="Line 99"/>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0" name="Line 100"/>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1" name="Line 10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2" name="Line 10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3" name="Line 103"/>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4" name="Line 104"/>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5" name="Line 105"/>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6" name="Line 10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7" name="Line 10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8" name="Line 108"/>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09" name="Line 109"/>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10" name="Line 110"/>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11" name="Line 11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12" name="Line 11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13" name="Line 113"/>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14" name="Line 114"/>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15" name="Line 115"/>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16" name="Line 11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17" name="Line 11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18" name="Line 118"/>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19" name="Line 119"/>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0" name="Line 120"/>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1" name="Line 121"/>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2" name="Line 122"/>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3" name="Line 123"/>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4" name="Line 124"/>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5" name="Line 125"/>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6" name="Line 126"/>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7" name="Line 127"/>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8" name="Line 128"/>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29" name="Line 129"/>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xdr:row>
      <xdr:rowOff>0</xdr:rowOff>
    </xdr:from>
    <xdr:to>
      <xdr:col>5</xdr:col>
      <xdr:colOff>342900</xdr:colOff>
      <xdr:row>1</xdr:row>
      <xdr:rowOff>0</xdr:rowOff>
    </xdr:to>
    <xdr:sp>
      <xdr:nvSpPr>
        <xdr:cNvPr id="130" name="Line 130"/>
        <xdr:cNvSpPr>
          <a:spLocks/>
        </xdr:cNvSpPr>
      </xdr:nvSpPr>
      <xdr:spPr>
        <a:xfrm>
          <a:off x="1695450"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31" name="Line 131"/>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32" name="Line 132"/>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33" name="Line 133"/>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34" name="Line 134"/>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35" name="Line 135"/>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36" name="Line 136"/>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37" name="Line 137"/>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38" name="Line 138"/>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39" name="Line 139"/>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40" name="Line 140"/>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41" name="Line 141"/>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42" name="Line 142"/>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43" name="Line 143"/>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44" name="Line 144"/>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45" name="Line 145"/>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46" name="Line 14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47" name="Line 14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48" name="Line 148"/>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49" name="Line 149"/>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50" name="Line 150"/>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51" name="Line 15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52" name="Line 15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53" name="Line 153"/>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54" name="Line 154"/>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55" name="Line 155"/>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56" name="Line 15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57" name="Line 157"/>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58" name="Line 158"/>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59" name="Line 159"/>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60" name="Line 160"/>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61" name="Line 161"/>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62" name="Line 162"/>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63" name="Line 163"/>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64" name="Line 164"/>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65" name="Line 165"/>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66" name="Line 166"/>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67" name="Line 167"/>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68" name="Line 168"/>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69" name="Line 169"/>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70" name="Line 170"/>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71" name="Line 17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72" name="Line 17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73" name="Line 173"/>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74" name="Line 174"/>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75" name="Line 175"/>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76" name="Line 17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77" name="Line 17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78" name="Line 178"/>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79" name="Line 179"/>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80" name="Line 180"/>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81" name="Line 18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82" name="Line 18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83" name="Line 183"/>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84" name="Line 184"/>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85" name="Line 185"/>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86" name="Line 186"/>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87" name="Line 187"/>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88" name="Line 188"/>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89" name="Line 189"/>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90" name="Line 190"/>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91" name="Line 191"/>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92" name="Line 192"/>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93" name="Line 193"/>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94" name="Line 194"/>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xdr:row>
      <xdr:rowOff>0</xdr:rowOff>
    </xdr:from>
    <xdr:to>
      <xdr:col>13</xdr:col>
      <xdr:colOff>342900</xdr:colOff>
      <xdr:row>1</xdr:row>
      <xdr:rowOff>0</xdr:rowOff>
    </xdr:to>
    <xdr:sp>
      <xdr:nvSpPr>
        <xdr:cNvPr id="195" name="Line 195"/>
        <xdr:cNvSpPr>
          <a:spLocks/>
        </xdr:cNvSpPr>
      </xdr:nvSpPr>
      <xdr:spPr>
        <a:xfrm>
          <a:off x="10144125" y="542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96" name="Line 19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97" name="Line 19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98" name="Line 198"/>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99" name="Line 199"/>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00" name="Line 200"/>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01" name="Line 201"/>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02" name="Line 202"/>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03" name="Line 203"/>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04" name="Line 204"/>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05" name="Line 205"/>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06" name="Line 206"/>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07" name="Line 207"/>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08" name="Line 208"/>
        <xdr:cNvSpPr>
          <a:spLocks/>
        </xdr:cNvSpPr>
      </xdr:nvSpPr>
      <xdr:spPr>
        <a:xfrm>
          <a:off x="6248400"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undi_pc\petra\Petra\Fond%20hospod&#225;&#345;sk&#233;ho%20rozvoj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kotja\Local%20Settings\Temporary%20Internet%20Files\OLKB9E\Documents%20and%20Settings\kotja\Local%20Settings\Temporary%20Internet%20Files\OLKB9E\Documents%20and%20Settings\kotja\Dokumenty\Jarka\Rok%202009\soubory%20&#269;erp&#225;n&#237;%202009\&#269;erp&#225;n&#237;%20k%2030.9.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kotja\Dokumenty\Jarka\&#269;erp&#225;n&#237;%20%20k%2030.6.201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otja\Local%20Settings\Temporary%20Internet%20Files\Content.IE5\MJ1271TF\investice\investice%20k%2029.6.1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kotja\Dokumenty\Jarka\Rozpo&#269;et%202010\Rozpo&#269;et%20investic%20na%20rok%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H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ář P+V+F "/>
      <sheetName val="Plnění příjmů"/>
      <sheetName val=" Sumář PO"/>
      <sheetName val=" Sumář OVS"/>
      <sheetName val=" FRB povodeň"/>
      <sheetName val=" FRB klasika"/>
      <sheetName val="soc. fond"/>
      <sheetName val="A stav. inv."/>
      <sheetName val="B - PD "/>
      <sheetName val="C - OEP  "/>
      <sheetName val="D - OKR "/>
      <sheetName val=" E -nest.inv."/>
      <sheetName val="F -příspěvky"/>
      <sheetName val="G - SNO"/>
      <sheetName val="H - MOVO"/>
      <sheetName val="Rekapitulace"/>
      <sheetName val="01-kanc.prim."/>
      <sheetName val="02-investic "/>
      <sheetName val="03-OKR"/>
      <sheetName val="04-živnost."/>
      <sheetName val="05-ekonom."/>
      <sheetName val="06-VAK"/>
      <sheetName val="7-doprava"/>
      <sheetName val="08-AŘMV"/>
      <sheetName val="10-stavební"/>
      <sheetName val="11-vněj.vz.a info."/>
      <sheetName val="13-informatika"/>
      <sheetName val="14-školství"/>
      <sheetName val="15 -soc.pomoci"/>
      <sheetName val="19-správa"/>
      <sheetName val="20 -MP"/>
      <sheetName val="30 - památ. péče"/>
      <sheetName val="35-soc. sl. a zdravot."/>
      <sheetName val="40-život.pr."/>
      <sheetName val="41-majetkopr."/>
      <sheetName val="42 -ochrana"/>
      <sheetName val="44-evrop.proj."/>
    </sheetNames>
    <sheetDataSet>
      <sheetData sheetId="18">
        <row r="1">
          <cell r="D1" t="str">
            <v>Upravený rozpočet                                      k 15.9.2009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ář P+V+F "/>
      <sheetName val="příjmy"/>
      <sheetName val="OVS"/>
      <sheetName val="sumář PO"/>
      <sheetName val="FRB K"/>
      <sheetName val="FRB P"/>
      <sheetName val="soc. fond"/>
      <sheetName val="A stav. inv."/>
      <sheetName val="B projekt. dok."/>
      <sheetName val="C,D,E,G nest. inv,OKR,OEP"/>
      <sheetName val="F MOVO"/>
      <sheetName val="Rekapit."/>
      <sheetName val="01-kanc.pr."/>
      <sheetName val="02-investice"/>
      <sheetName val="03-OKR"/>
      <sheetName val="04-živnost."/>
      <sheetName val="05-ekonom."/>
      <sheetName val="06-vn.aud.a kontr."/>
      <sheetName val="07-doprava"/>
      <sheetName val="08-ag.řid.a mot.voz."/>
      <sheetName val="10-staveb."/>
      <sheetName val="11-OVVI"/>
      <sheetName val="13-inform."/>
      <sheetName val="14-školství"/>
      <sheetName val="15-soc.pomoci"/>
      <sheetName val="19-správa"/>
      <sheetName val="20-MP"/>
      <sheetName val="30-pam.péče"/>
      <sheetName val="35-soc.sl.a zdrav."/>
      <sheetName val="40-ŽP"/>
      <sheetName val="41-majetk."/>
      <sheetName val="42-ochrana"/>
      <sheetName val="44-evrop.pr."/>
    </sheetNames>
    <sheetDataSet>
      <sheetData sheetId="9">
        <row r="53">
          <cell r="R5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oupis příloh"/>
      <sheetName val="A stav. inv."/>
      <sheetName val="B projekt. dok."/>
      <sheetName val="C,D,E,G nest. inv,OKR,OEP"/>
      <sheetName val="F MOVO"/>
      <sheetName val="Rekapit."/>
    </sheetNames>
    <sheetDataSet>
      <sheetData sheetId="1">
        <row r="57">
          <cell r="L57">
            <v>20000</v>
          </cell>
          <cell r="O57">
            <v>380024000</v>
          </cell>
          <cell r="P57">
            <v>3236306</v>
          </cell>
        </row>
      </sheetData>
      <sheetData sheetId="2">
        <row r="73">
          <cell r="M73">
            <v>420000</v>
          </cell>
          <cell r="N73">
            <v>15591300</v>
          </cell>
          <cell r="O73">
            <v>-638000</v>
          </cell>
        </row>
      </sheetData>
      <sheetData sheetId="3">
        <row r="36">
          <cell r="L36">
            <v>15276</v>
          </cell>
          <cell r="O36">
            <v>32329123</v>
          </cell>
          <cell r="P36">
            <v>7914270</v>
          </cell>
        </row>
        <row r="48">
          <cell r="O48">
            <v>6900000</v>
          </cell>
          <cell r="P48">
            <v>-200000</v>
          </cell>
        </row>
        <row r="67">
          <cell r="L67">
            <v>57024</v>
          </cell>
          <cell r="O67">
            <v>810960</v>
          </cell>
          <cell r="P67">
            <v>700000</v>
          </cell>
        </row>
      </sheetData>
      <sheetData sheetId="4">
        <row r="11">
          <cell r="J11">
            <v>8110000</v>
          </cell>
          <cell r="K11">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 stav. inv."/>
      <sheetName val="B projekt. dok."/>
      <sheetName val="C,D,E nest. inv,OKR,OEP"/>
      <sheetName val="F MOVO"/>
      <sheetName val="Rekapit."/>
    </sheetNames>
    <sheetDataSet>
      <sheetData sheetId="0">
        <row r="44">
          <cell r="H44">
            <v>372220000</v>
          </cell>
        </row>
      </sheetData>
      <sheetData sheetId="1">
        <row r="35">
          <cell r="H35">
            <v>16329999.999999994</v>
          </cell>
        </row>
      </sheetData>
      <sheetData sheetId="2">
        <row r="6">
          <cell r="H6">
            <v>4060000</v>
          </cell>
        </row>
        <row r="16">
          <cell r="H16">
            <v>8380000</v>
          </cell>
        </row>
        <row r="21">
          <cell r="H21">
            <v>750000</v>
          </cell>
        </row>
      </sheetData>
      <sheetData sheetId="3">
        <row r="9">
          <cell r="H9">
            <v>16000000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B44"/>
  <sheetViews>
    <sheetView workbookViewId="0" topLeftCell="A1">
      <selection activeCell="B37" sqref="B37"/>
    </sheetView>
  </sheetViews>
  <sheetFormatPr defaultColWidth="9.140625" defaultRowHeight="12.75"/>
  <cols>
    <col min="1" max="1" width="14.7109375" style="1206" customWidth="1"/>
    <col min="2" max="2" width="77.7109375" style="1206" customWidth="1"/>
    <col min="3" max="16384" width="9.140625" style="1206" customWidth="1"/>
  </cols>
  <sheetData>
    <row r="1" s="1204" customFormat="1" ht="12.75"/>
    <row r="3" ht="15.75">
      <c r="A3" s="1205" t="s">
        <v>320</v>
      </c>
    </row>
    <row r="4" spans="1:2" ht="15">
      <c r="A4" s="1207" t="s">
        <v>321</v>
      </c>
      <c r="B4" s="1208" t="s">
        <v>337</v>
      </c>
    </row>
    <row r="5" spans="1:2" ht="15">
      <c r="A5" s="1207"/>
      <c r="B5" s="1209" t="s">
        <v>322</v>
      </c>
    </row>
    <row r="6" spans="1:2" ht="15">
      <c r="A6" s="1207"/>
      <c r="B6" s="1209"/>
    </row>
    <row r="7" spans="1:2" ht="15">
      <c r="A7" s="1207"/>
      <c r="B7" s="1209"/>
    </row>
    <row r="8" spans="1:2" ht="15">
      <c r="A8" s="1207" t="s">
        <v>323</v>
      </c>
      <c r="B8" s="1208" t="s">
        <v>338</v>
      </c>
    </row>
    <row r="9" spans="1:2" ht="15">
      <c r="A9" s="1207"/>
      <c r="B9" s="1209" t="s">
        <v>324</v>
      </c>
    </row>
    <row r="10" spans="1:2" ht="15">
      <c r="A10" s="1207"/>
      <c r="B10" s="1209"/>
    </row>
    <row r="11" spans="1:2" ht="15">
      <c r="A11" s="1207"/>
      <c r="B11" s="1209"/>
    </row>
    <row r="12" spans="1:2" ht="15">
      <c r="A12" s="1207" t="s">
        <v>325</v>
      </c>
      <c r="B12" s="1208" t="s">
        <v>339</v>
      </c>
    </row>
    <row r="13" spans="1:2" ht="15">
      <c r="A13" s="1207"/>
      <c r="B13" s="1209" t="s">
        <v>326</v>
      </c>
    </row>
    <row r="14" spans="1:2" ht="15">
      <c r="A14" s="1207"/>
      <c r="B14" s="1209"/>
    </row>
    <row r="15" spans="1:2" ht="15">
      <c r="A15" s="1207"/>
      <c r="B15" s="1209"/>
    </row>
    <row r="16" spans="1:2" ht="15">
      <c r="A16" s="1207" t="s">
        <v>327</v>
      </c>
      <c r="B16" s="1208" t="s">
        <v>340</v>
      </c>
    </row>
    <row r="17" spans="1:2" ht="15">
      <c r="A17" s="1207"/>
      <c r="B17" s="1209" t="s">
        <v>328</v>
      </c>
    </row>
    <row r="18" spans="1:2" ht="15">
      <c r="A18" s="1207"/>
      <c r="B18" s="1209"/>
    </row>
    <row r="19" spans="1:2" ht="15">
      <c r="A19" s="1207"/>
      <c r="B19" s="1209"/>
    </row>
    <row r="20" spans="1:2" ht="15">
      <c r="A20" s="1207" t="s">
        <v>329</v>
      </c>
      <c r="B20" s="1208" t="s">
        <v>341</v>
      </c>
    </row>
    <row r="21" spans="1:2" ht="15">
      <c r="A21" s="1207"/>
      <c r="B21" s="1209" t="s">
        <v>330</v>
      </c>
    </row>
    <row r="22" spans="1:2" ht="15">
      <c r="A22" s="1207"/>
      <c r="B22" s="1209"/>
    </row>
    <row r="23" spans="1:2" ht="15">
      <c r="A23" s="1207"/>
      <c r="B23" s="1209"/>
    </row>
    <row r="24" spans="1:2" ht="15.75" customHeight="1">
      <c r="A24" s="1207" t="s">
        <v>331</v>
      </c>
      <c r="B24" s="1210" t="s">
        <v>332</v>
      </c>
    </row>
    <row r="25" spans="1:2" ht="15">
      <c r="A25" s="1207"/>
      <c r="B25" s="1208" t="s">
        <v>342</v>
      </c>
    </row>
    <row r="26" spans="1:2" ht="15">
      <c r="A26" s="1207"/>
      <c r="B26" s="1209" t="s">
        <v>333</v>
      </c>
    </row>
    <row r="27" spans="1:2" ht="15">
      <c r="A27" s="1207"/>
      <c r="B27" s="1209"/>
    </row>
    <row r="28" spans="1:2" ht="15">
      <c r="A28" s="1207"/>
      <c r="B28" s="1209"/>
    </row>
    <row r="29" spans="1:2" ht="15.75">
      <c r="A29" s="1211"/>
      <c r="B29" s="1209"/>
    </row>
    <row r="30" spans="1:2" ht="15">
      <c r="A30" s="1207" t="s">
        <v>334</v>
      </c>
      <c r="B30" s="1208" t="s">
        <v>343</v>
      </c>
    </row>
    <row r="31" spans="1:2" ht="15">
      <c r="A31" s="1207"/>
      <c r="B31" s="1209" t="s">
        <v>345</v>
      </c>
    </row>
    <row r="32" spans="1:2" ht="15">
      <c r="A32" s="1207"/>
      <c r="B32" s="1209"/>
    </row>
    <row r="33" spans="1:2" ht="15">
      <c r="A33" s="1207"/>
      <c r="B33" s="1209"/>
    </row>
    <row r="34" spans="1:2" ht="15.75">
      <c r="A34" s="1205" t="s">
        <v>335</v>
      </c>
      <c r="B34" s="1209"/>
    </row>
    <row r="35" spans="1:2" ht="15">
      <c r="A35" s="1207" t="s">
        <v>336</v>
      </c>
      <c r="B35" s="1208" t="s">
        <v>344</v>
      </c>
    </row>
    <row r="36" spans="1:2" ht="15">
      <c r="A36" s="1207"/>
      <c r="B36" s="1209" t="s">
        <v>346</v>
      </c>
    </row>
    <row r="37" spans="1:2" ht="15">
      <c r="A37" s="1207"/>
      <c r="B37" s="1209"/>
    </row>
    <row r="38" spans="1:2" ht="15">
      <c r="A38" s="1207"/>
      <c r="B38" s="1209"/>
    </row>
    <row r="39" spans="1:2" ht="15.75">
      <c r="A39" s="1205"/>
      <c r="B39" s="1209"/>
    </row>
    <row r="40" spans="1:2" ht="15">
      <c r="A40" s="1207"/>
      <c r="B40" s="1208"/>
    </row>
    <row r="41" spans="1:2" ht="15">
      <c r="A41" s="1207"/>
      <c r="B41" s="1209"/>
    </row>
    <row r="42" spans="1:2" ht="15">
      <c r="A42" s="1207"/>
      <c r="B42" s="1209"/>
    </row>
    <row r="43" spans="1:2" ht="15">
      <c r="A43" s="1207"/>
      <c r="B43" s="1209"/>
    </row>
    <row r="44" spans="1:2" ht="15">
      <c r="A44" s="1207"/>
      <c r="B44" s="1212"/>
    </row>
  </sheetData>
  <printOptions/>
  <pageMargins left="0.57" right="0.19" top="0.984251968503937" bottom="0.984251968503937" header="0.84" footer="0.5118110236220472"/>
  <pageSetup horizontalDpi="600" verticalDpi="600" orientation="portrait" paperSize="9" r:id="rId1"/>
  <headerFooter alignWithMargins="0">
    <oddHeader>&amp;C&amp;"Arial,Tučné"&amp;12SOUPIS PŘÍLOH</oddHeader>
  </headerFooter>
</worksheet>
</file>

<file path=xl/worksheets/sheet10.xml><?xml version="1.0" encoding="utf-8"?>
<worksheet xmlns="http://schemas.openxmlformats.org/spreadsheetml/2006/main" xmlns:r="http://schemas.openxmlformats.org/officeDocument/2006/relationships">
  <dimension ref="A1:I28"/>
  <sheetViews>
    <sheetView workbookViewId="0" topLeftCell="A1">
      <selection activeCell="A29" sqref="A29"/>
    </sheetView>
  </sheetViews>
  <sheetFormatPr defaultColWidth="9.140625" defaultRowHeight="12.75"/>
  <cols>
    <col min="1" max="5" width="25.7109375" style="0" customWidth="1"/>
  </cols>
  <sheetData>
    <row r="1" spans="1:5" ht="15">
      <c r="A1" s="262" t="s">
        <v>471</v>
      </c>
      <c r="E1" s="606" t="s">
        <v>472</v>
      </c>
    </row>
    <row r="2" spans="1:5" ht="14.25">
      <c r="A2" s="176" t="s">
        <v>473</v>
      </c>
      <c r="E2" s="606"/>
    </row>
    <row r="3" spans="1:5" ht="14.25">
      <c r="A3" s="176" t="s">
        <v>474</v>
      </c>
      <c r="E3" s="606"/>
    </row>
    <row r="4" spans="1:5" ht="14.25">
      <c r="A4" s="176" t="s">
        <v>475</v>
      </c>
      <c r="E4" s="606"/>
    </row>
    <row r="6" spans="1:9" ht="18">
      <c r="A6" s="1331" t="s">
        <v>476</v>
      </c>
      <c r="B6" s="1331"/>
      <c r="C6" s="1331"/>
      <c r="D6" s="1331"/>
      <c r="E6" s="1331"/>
      <c r="F6" s="608"/>
      <c r="G6" s="607"/>
      <c r="H6" s="607"/>
      <c r="I6" s="607"/>
    </row>
    <row r="7" spans="1:9" ht="18">
      <c r="A7" s="607"/>
      <c r="B7" s="607"/>
      <c r="C7" s="607"/>
      <c r="D7" s="607"/>
      <c r="E7" s="607"/>
      <c r="F7" s="608"/>
      <c r="G7" s="607"/>
      <c r="H7" s="607"/>
      <c r="I7" s="607"/>
    </row>
    <row r="8" spans="1:9" ht="18">
      <c r="A8" s="609" t="s">
        <v>477</v>
      </c>
      <c r="B8" s="607"/>
      <c r="C8" s="607"/>
      <c r="D8" s="607"/>
      <c r="E8" s="607"/>
      <c r="F8" s="608"/>
      <c r="G8" s="607"/>
      <c r="H8" s="607"/>
      <c r="I8" s="607"/>
    </row>
    <row r="9" spans="1:9" ht="15.75">
      <c r="A9" s="609" t="s">
        <v>478</v>
      </c>
      <c r="B9" s="607"/>
      <c r="C9" s="607"/>
      <c r="D9" s="607"/>
      <c r="E9" s="607"/>
      <c r="F9" s="607"/>
      <c r="G9" s="607"/>
      <c r="H9" s="607"/>
      <c r="I9" s="607"/>
    </row>
    <row r="10" ht="13.5" thickBot="1">
      <c r="E10" t="s">
        <v>479</v>
      </c>
    </row>
    <row r="11" spans="1:5" ht="33" customHeight="1" thickBot="1">
      <c r="A11" s="610" t="s">
        <v>480</v>
      </c>
      <c r="B11" s="611" t="s">
        <v>481</v>
      </c>
      <c r="C11" s="612" t="s">
        <v>482</v>
      </c>
      <c r="D11" s="611" t="s">
        <v>483</v>
      </c>
      <c r="E11" s="613" t="s">
        <v>484</v>
      </c>
    </row>
    <row r="12" spans="1:5" ht="42" customHeight="1" thickBot="1">
      <c r="A12" s="614" t="s">
        <v>485</v>
      </c>
      <c r="B12" s="615">
        <v>10969142</v>
      </c>
      <c r="C12" s="615">
        <v>10969142</v>
      </c>
      <c r="D12" s="615">
        <v>0</v>
      </c>
      <c r="E12" s="615">
        <v>0</v>
      </c>
    </row>
    <row r="13" spans="1:4" ht="13.5" customHeight="1">
      <c r="A13" s="616" t="s">
        <v>486</v>
      </c>
      <c r="B13" s="616"/>
      <c r="C13" s="616"/>
      <c r="D13" s="616"/>
    </row>
    <row r="14" spans="1:4" ht="13.5" customHeight="1">
      <c r="A14" s="617" t="s">
        <v>487</v>
      </c>
      <c r="B14" s="616"/>
      <c r="C14" s="616"/>
      <c r="D14" s="616"/>
    </row>
    <row r="15" spans="1:4" ht="13.5" customHeight="1">
      <c r="A15" s="616" t="s">
        <v>488</v>
      </c>
      <c r="B15" s="616"/>
      <c r="C15" s="616"/>
      <c r="D15" s="616"/>
    </row>
    <row r="16" spans="1:4" ht="13.5" customHeight="1">
      <c r="A16" s="616" t="s">
        <v>489</v>
      </c>
      <c r="B16" s="616"/>
      <c r="C16" s="616"/>
      <c r="D16" s="616"/>
    </row>
    <row r="17" spans="1:4" ht="13.5" customHeight="1">
      <c r="A17" s="616" t="s">
        <v>876</v>
      </c>
      <c r="B17" s="616"/>
      <c r="C17" s="616"/>
      <c r="D17" s="616"/>
    </row>
    <row r="18" ht="13.5" customHeight="1">
      <c r="A18" s="618"/>
    </row>
    <row r="19" ht="13.5" thickBot="1"/>
    <row r="20" spans="1:3" ht="33" customHeight="1" thickBot="1">
      <c r="A20" s="619" t="s">
        <v>480</v>
      </c>
      <c r="B20" s="620" t="s">
        <v>877</v>
      </c>
      <c r="C20" s="619" t="s">
        <v>878</v>
      </c>
    </row>
    <row r="21" spans="1:3" ht="42" customHeight="1" thickBot="1">
      <c r="A21" s="614" t="s">
        <v>485</v>
      </c>
      <c r="B21" s="626">
        <v>9486</v>
      </c>
      <c r="C21" s="614">
        <v>26</v>
      </c>
    </row>
    <row r="22" spans="1:4" ht="12.75">
      <c r="A22" s="616" t="s">
        <v>879</v>
      </c>
      <c r="B22" s="616"/>
      <c r="C22" s="616"/>
      <c r="D22" s="616"/>
    </row>
    <row r="23" spans="1:4" ht="12.75">
      <c r="A23" s="616" t="s">
        <v>880</v>
      </c>
      <c r="B23" s="616"/>
      <c r="C23" s="616"/>
      <c r="D23" s="616"/>
    </row>
    <row r="24" spans="1:4" ht="12.75">
      <c r="A24" s="616" t="s">
        <v>881</v>
      </c>
      <c r="B24" s="616"/>
      <c r="C24" s="616"/>
      <c r="D24" s="616"/>
    </row>
    <row r="25" ht="12.75">
      <c r="A25" s="627" t="s">
        <v>882</v>
      </c>
    </row>
    <row r="27" ht="12.75">
      <c r="A27" s="618" t="s">
        <v>883</v>
      </c>
    </row>
    <row r="28" ht="12.75">
      <c r="A28" s="618" t="s">
        <v>884</v>
      </c>
    </row>
  </sheetData>
  <mergeCells count="1">
    <mergeCell ref="A6:E6"/>
  </mergeCells>
  <printOptions horizontalCentered="1"/>
  <pageMargins left="0" right="0" top="0.984251968503937" bottom="0.5905511811023623" header="0.5118110236220472" footer="0.5118110236220472"/>
  <pageSetup firstPageNumber="13" useFirstPageNumber="1" horizontalDpi="600" verticalDpi="600" orientation="landscape" paperSize="9" r:id="rId1"/>
  <headerFooter alignWithMargins="0">
    <oddHeader>&amp;R&amp;"Arial,Tučné"příloha č. 7</oddHeader>
    <oddFooter>&amp;C13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46"/>
  <sheetViews>
    <sheetView workbookViewId="0" topLeftCell="A1">
      <selection activeCell="C32" sqref="C32"/>
    </sheetView>
  </sheetViews>
  <sheetFormatPr defaultColWidth="9.140625" defaultRowHeight="12.75"/>
  <cols>
    <col min="1" max="1" width="67.421875" style="0" customWidth="1"/>
    <col min="2" max="2" width="34.57421875" style="0" customWidth="1"/>
  </cols>
  <sheetData>
    <row r="1" ht="14.25">
      <c r="B1" s="628" t="s">
        <v>885</v>
      </c>
    </row>
    <row r="2" spans="1:2" ht="14.25">
      <c r="A2" s="629"/>
      <c r="B2" s="606"/>
    </row>
    <row r="3" spans="1:2" ht="14.25">
      <c r="A3" s="629"/>
      <c r="B3" s="629"/>
    </row>
    <row r="4" spans="1:2" ht="18" customHeight="1">
      <c r="A4" s="630" t="s">
        <v>886</v>
      </c>
      <c r="B4" s="629"/>
    </row>
    <row r="5" spans="1:2" ht="18" customHeight="1">
      <c r="A5" s="630" t="s">
        <v>887</v>
      </c>
      <c r="B5" s="629"/>
    </row>
    <row r="6" spans="1:2" ht="14.25">
      <c r="A6" s="629"/>
      <c r="B6" s="629"/>
    </row>
    <row r="7" spans="1:2" ht="15" thickBot="1">
      <c r="A7" s="629"/>
      <c r="B7" s="629"/>
    </row>
    <row r="8" spans="1:2" ht="26.25" customHeight="1" thickBot="1">
      <c r="A8" s="1332" t="s">
        <v>888</v>
      </c>
      <c r="B8" s="1323"/>
    </row>
    <row r="9" spans="1:2" ht="15" thickBot="1">
      <c r="A9" s="629"/>
      <c r="B9" s="629"/>
    </row>
    <row r="10" spans="1:2" ht="18.75" customHeight="1" thickBot="1">
      <c r="A10" s="631" t="s">
        <v>889</v>
      </c>
      <c r="B10" s="632" t="s">
        <v>479</v>
      </c>
    </row>
    <row r="11" spans="1:2" ht="18" customHeight="1">
      <c r="A11" s="633" t="s">
        <v>890</v>
      </c>
      <c r="B11" s="634">
        <v>6126316</v>
      </c>
    </row>
    <row r="12" spans="1:2" ht="18" customHeight="1">
      <c r="A12" s="635" t="s">
        <v>891</v>
      </c>
      <c r="B12" s="636">
        <v>1531579</v>
      </c>
    </row>
    <row r="13" spans="1:2" ht="18" customHeight="1">
      <c r="A13" s="635" t="s">
        <v>892</v>
      </c>
      <c r="B13" s="636">
        <v>551368</v>
      </c>
    </row>
    <row r="14" spans="1:2" ht="18" customHeight="1">
      <c r="A14" s="635" t="s">
        <v>893</v>
      </c>
      <c r="B14" s="636">
        <v>140320</v>
      </c>
    </row>
    <row r="15" spans="1:2" ht="18" customHeight="1">
      <c r="A15" s="635" t="s">
        <v>894</v>
      </c>
      <c r="B15" s="636">
        <v>100861.34</v>
      </c>
    </row>
    <row r="16" spans="1:2" ht="18" customHeight="1">
      <c r="A16" s="637" t="s">
        <v>895</v>
      </c>
      <c r="B16" s="636">
        <v>128000</v>
      </c>
    </row>
    <row r="17" spans="1:2" ht="18" customHeight="1">
      <c r="A17" s="637" t="s">
        <v>896</v>
      </c>
      <c r="B17" s="636">
        <v>0</v>
      </c>
    </row>
    <row r="18" spans="1:2" ht="18" customHeight="1">
      <c r="A18" s="637" t="s">
        <v>897</v>
      </c>
      <c r="B18" s="636">
        <v>417152.66</v>
      </c>
    </row>
    <row r="19" spans="1:2" ht="18" customHeight="1">
      <c r="A19" s="635" t="s">
        <v>898</v>
      </c>
      <c r="B19" s="636">
        <v>686423</v>
      </c>
    </row>
    <row r="20" spans="1:2" ht="18" customHeight="1">
      <c r="A20" s="635" t="s">
        <v>899</v>
      </c>
      <c r="B20" s="636">
        <v>10500</v>
      </c>
    </row>
    <row r="21" spans="1:2" ht="18" customHeight="1">
      <c r="A21" s="635" t="s">
        <v>900</v>
      </c>
      <c r="B21" s="636">
        <v>622379</v>
      </c>
    </row>
    <row r="22" spans="1:2" ht="18" customHeight="1">
      <c r="A22" s="635" t="s">
        <v>901</v>
      </c>
      <c r="B22" s="636">
        <v>645287</v>
      </c>
    </row>
    <row r="23" spans="1:2" ht="18" customHeight="1">
      <c r="A23" s="635" t="s">
        <v>902</v>
      </c>
      <c r="B23" s="636">
        <v>6756</v>
      </c>
    </row>
    <row r="24" spans="1:2" ht="18" customHeight="1">
      <c r="A24" s="635" t="s">
        <v>903</v>
      </c>
      <c r="B24" s="636">
        <v>2200</v>
      </c>
    </row>
    <row r="25" spans="1:2" ht="18" customHeight="1">
      <c r="A25" s="635"/>
      <c r="B25" s="636"/>
    </row>
    <row r="26" spans="1:2" ht="18" customHeight="1">
      <c r="A26" s="638"/>
      <c r="B26" s="639"/>
    </row>
    <row r="27" spans="1:2" ht="18" customHeight="1">
      <c r="A27" s="635"/>
      <c r="B27" s="636"/>
    </row>
    <row r="28" spans="1:2" ht="18" customHeight="1">
      <c r="A28" s="635"/>
      <c r="B28" s="636"/>
    </row>
    <row r="29" spans="1:2" ht="18" customHeight="1">
      <c r="A29" s="635"/>
      <c r="B29" s="636"/>
    </row>
    <row r="30" spans="1:2" ht="18" customHeight="1">
      <c r="A30" s="635"/>
      <c r="B30" s="636"/>
    </row>
    <row r="31" spans="1:2" ht="18" customHeight="1">
      <c r="A31" s="635"/>
      <c r="B31" s="636"/>
    </row>
    <row r="32" spans="1:2" ht="18" customHeight="1">
      <c r="A32" s="635"/>
      <c r="B32" s="636"/>
    </row>
    <row r="33" spans="1:2" ht="18" customHeight="1">
      <c r="A33" s="635"/>
      <c r="B33" s="636"/>
    </row>
    <row r="34" spans="1:2" ht="18" customHeight="1">
      <c r="A34" s="635"/>
      <c r="B34" s="636"/>
    </row>
    <row r="35" spans="1:2" ht="18" customHeight="1">
      <c r="A35" s="635"/>
      <c r="B35" s="636"/>
    </row>
    <row r="36" spans="1:2" ht="18" customHeight="1">
      <c r="A36" s="635"/>
      <c r="B36" s="636"/>
    </row>
    <row r="37" spans="1:2" ht="18" customHeight="1">
      <c r="A37" s="640" t="s">
        <v>276</v>
      </c>
      <c r="B37" s="641">
        <f>SUM(B11:B36)</f>
        <v>10969142</v>
      </c>
    </row>
    <row r="38" spans="1:2" ht="18" customHeight="1">
      <c r="A38" s="642" t="s">
        <v>904</v>
      </c>
      <c r="B38" s="643">
        <v>10969142</v>
      </c>
    </row>
    <row r="39" spans="1:2" ht="18" customHeight="1" thickBot="1">
      <c r="A39" s="644" t="s">
        <v>484</v>
      </c>
      <c r="B39" s="646">
        <f>B38-B37</f>
        <v>0</v>
      </c>
    </row>
    <row r="40" spans="1:2" ht="14.25">
      <c r="A40" s="629"/>
      <c r="B40" s="629"/>
    </row>
    <row r="41" spans="1:2" ht="14.25">
      <c r="A41" s="629" t="s">
        <v>905</v>
      </c>
      <c r="B41" s="629"/>
    </row>
    <row r="42" spans="1:2" ht="14.25">
      <c r="A42" s="629"/>
      <c r="B42" s="629"/>
    </row>
    <row r="43" spans="1:2" ht="14.25">
      <c r="A43" s="629"/>
      <c r="B43" s="629"/>
    </row>
    <row r="44" spans="1:2" ht="14.25">
      <c r="A44" s="629" t="s">
        <v>906</v>
      </c>
      <c r="B44" s="629" t="s">
        <v>907</v>
      </c>
    </row>
    <row r="45" spans="1:2" ht="14.25">
      <c r="A45" s="629" t="s">
        <v>908</v>
      </c>
      <c r="B45" s="629"/>
    </row>
    <row r="46" spans="1:2" ht="14.25">
      <c r="A46" s="629" t="s">
        <v>909</v>
      </c>
      <c r="B46" s="629"/>
    </row>
  </sheetData>
  <mergeCells count="1">
    <mergeCell ref="A8:B8"/>
  </mergeCells>
  <printOptions horizontalCentered="1"/>
  <pageMargins left="0" right="0" top="0.984251968503937" bottom="0.984251968503937" header="0.5118110236220472" footer="0.5118110236220472"/>
  <pageSetup fitToHeight="1" fitToWidth="1" horizontalDpi="600" verticalDpi="600" orientation="portrait" paperSize="9" scale="91" r:id="rId1"/>
  <headerFooter alignWithMargins="0">
    <oddFooter>&amp;C14</oddFooter>
  </headerFooter>
</worksheet>
</file>

<file path=xl/worksheets/sheet12.xml><?xml version="1.0" encoding="utf-8"?>
<worksheet xmlns="http://schemas.openxmlformats.org/spreadsheetml/2006/main" xmlns:r="http://schemas.openxmlformats.org/officeDocument/2006/relationships">
  <dimension ref="A1:H48"/>
  <sheetViews>
    <sheetView workbookViewId="0" topLeftCell="A1">
      <selection activeCell="C51" sqref="C51"/>
    </sheetView>
  </sheetViews>
  <sheetFormatPr defaultColWidth="9.140625" defaultRowHeight="12.75"/>
  <cols>
    <col min="1" max="1" width="17.421875" style="624" customWidth="1"/>
    <col min="2" max="2" width="8.57421875" style="624" customWidth="1"/>
    <col min="3" max="3" width="50.7109375" style="624" customWidth="1"/>
    <col min="4" max="6" width="15.57421875" style="624" customWidth="1"/>
    <col min="7" max="7" width="16.28125" style="624" customWidth="1"/>
    <col min="8" max="8" width="15.57421875" style="624" customWidth="1"/>
    <col min="9" max="16384" width="9.140625" style="624" customWidth="1"/>
  </cols>
  <sheetData>
    <row r="1" spans="1:8" ht="12.75">
      <c r="A1" s="621"/>
      <c r="B1" s="622"/>
      <c r="C1" s="623"/>
      <c r="H1" s="621"/>
    </row>
    <row r="2" spans="2:8" ht="12.75">
      <c r="B2" s="625"/>
      <c r="C2" s="647"/>
      <c r="G2" s="1324" t="s">
        <v>754</v>
      </c>
      <c r="H2" s="1324"/>
    </row>
    <row r="3" spans="1:3" ht="12.75">
      <c r="A3" s="624" t="s">
        <v>792</v>
      </c>
      <c r="C3" s="648" t="s">
        <v>755</v>
      </c>
    </row>
    <row r="4" spans="1:8" ht="14.25">
      <c r="A4" s="624" t="s">
        <v>793</v>
      </c>
      <c r="C4" s="649"/>
      <c r="G4" s="1318" t="s">
        <v>756</v>
      </c>
      <c r="H4" s="1318"/>
    </row>
    <row r="5" spans="1:3" ht="12.75">
      <c r="A5" s="648"/>
      <c r="C5" s="648" t="s">
        <v>757</v>
      </c>
    </row>
    <row r="7" spans="1:8" ht="12.75">
      <c r="A7" s="1327" t="s">
        <v>758</v>
      </c>
      <c r="B7" s="1327"/>
      <c r="C7" s="1327"/>
      <c r="D7" s="1327"/>
      <c r="E7" s="1327"/>
      <c r="F7" s="1327"/>
      <c r="G7" s="1327"/>
      <c r="H7" s="1327"/>
    </row>
    <row r="8" spans="1:8" ht="12.75">
      <c r="A8" s="1328" t="s">
        <v>759</v>
      </c>
      <c r="B8" s="1328"/>
      <c r="C8" s="1328"/>
      <c r="D8" s="1328"/>
      <c r="E8" s="1328"/>
      <c r="F8" s="1328"/>
      <c r="G8" s="1328"/>
      <c r="H8" s="1328"/>
    </row>
    <row r="9" spans="1:8" ht="12.75">
      <c r="A9" s="1325" t="s">
        <v>794</v>
      </c>
      <c r="B9" s="1326"/>
      <c r="C9" s="1326"/>
      <c r="D9" s="1326"/>
      <c r="E9" s="1326"/>
      <c r="F9" s="1326"/>
      <c r="G9" s="1326"/>
      <c r="H9" s="1326"/>
    </row>
    <row r="10" spans="1:8" ht="12.75">
      <c r="A10" s="1328" t="s">
        <v>760</v>
      </c>
      <c r="B10" s="1328"/>
      <c r="C10" s="1328"/>
      <c r="D10" s="1328"/>
      <c r="E10" s="1328"/>
      <c r="F10" s="1328"/>
      <c r="G10" s="1328"/>
      <c r="H10" s="1328"/>
    </row>
    <row r="11" spans="1:8" ht="12.75">
      <c r="A11" s="650"/>
      <c r="B11" s="650"/>
      <c r="C11" s="1327"/>
      <c r="D11" s="1327"/>
      <c r="E11" s="1327"/>
      <c r="F11" s="1327"/>
      <c r="G11" s="1327"/>
      <c r="H11" s="650"/>
    </row>
    <row r="12" ht="13.5" thickBot="1">
      <c r="H12" s="651" t="s">
        <v>761</v>
      </c>
    </row>
    <row r="13" spans="1:8" s="657" customFormat="1" ht="90" thickBot="1">
      <c r="A13" s="652" t="s">
        <v>762</v>
      </c>
      <c r="B13" s="653" t="s">
        <v>763</v>
      </c>
      <c r="C13" s="654" t="s">
        <v>764</v>
      </c>
      <c r="D13" s="655" t="s">
        <v>481</v>
      </c>
      <c r="E13" s="655" t="s">
        <v>765</v>
      </c>
      <c r="F13" s="656" t="s">
        <v>795</v>
      </c>
      <c r="G13" s="655" t="s">
        <v>766</v>
      </c>
      <c r="H13" s="655" t="s">
        <v>767</v>
      </c>
    </row>
    <row r="14" spans="1:8" ht="13.5" thickBot="1">
      <c r="A14" s="658" t="s">
        <v>768</v>
      </c>
      <c r="B14" s="659" t="s">
        <v>769</v>
      </c>
      <c r="C14" s="660" t="s">
        <v>770</v>
      </c>
      <c r="D14" s="660">
        <v>1</v>
      </c>
      <c r="E14" s="660">
        <v>2</v>
      </c>
      <c r="F14" s="661">
        <v>3</v>
      </c>
      <c r="G14" s="660">
        <v>4</v>
      </c>
      <c r="H14" s="660" t="s">
        <v>771</v>
      </c>
    </row>
    <row r="15" spans="1:8" ht="13.5" thickBot="1">
      <c r="A15" s="662"/>
      <c r="B15" s="663"/>
      <c r="C15" s="664" t="s">
        <v>772</v>
      </c>
      <c r="D15" s="665">
        <f>SUM(D17:D21)</f>
        <v>81627</v>
      </c>
      <c r="E15" s="665">
        <f>SUM(E17:E21)</f>
        <v>81627</v>
      </c>
      <c r="F15" s="665">
        <f>SUM(F17:F21)</f>
        <v>0</v>
      </c>
      <c r="G15" s="665">
        <f>SUM(G17:G21)</f>
        <v>81627</v>
      </c>
      <c r="H15" s="665">
        <f>E15-F15-G15</f>
        <v>0</v>
      </c>
    </row>
    <row r="16" spans="1:8" ht="12.75">
      <c r="A16" s="666"/>
      <c r="B16" s="667"/>
      <c r="C16" s="668" t="s">
        <v>773</v>
      </c>
      <c r="D16" s="669"/>
      <c r="E16" s="669"/>
      <c r="F16" s="669"/>
      <c r="G16" s="669"/>
      <c r="H16" s="670"/>
    </row>
    <row r="17" spans="1:8" ht="12.75">
      <c r="A17" s="666"/>
      <c r="B17" s="671">
        <v>14004</v>
      </c>
      <c r="C17" s="672" t="s">
        <v>774</v>
      </c>
      <c r="D17" s="669">
        <v>67327</v>
      </c>
      <c r="E17" s="669">
        <v>67327</v>
      </c>
      <c r="F17" s="669">
        <v>0</v>
      </c>
      <c r="G17" s="669">
        <v>67327</v>
      </c>
      <c r="H17" s="669">
        <f>E17-F17-G17</f>
        <v>0</v>
      </c>
    </row>
    <row r="18" spans="1:8" ht="12.75">
      <c r="A18" s="666"/>
      <c r="B18" s="671">
        <v>98006</v>
      </c>
      <c r="C18" s="673" t="s">
        <v>775</v>
      </c>
      <c r="D18" s="669">
        <v>14300</v>
      </c>
      <c r="E18" s="669">
        <v>14300</v>
      </c>
      <c r="F18" s="669">
        <v>0</v>
      </c>
      <c r="G18" s="669">
        <v>14300</v>
      </c>
      <c r="H18" s="669">
        <f>E18-F18-G18</f>
        <v>0</v>
      </c>
    </row>
    <row r="19" spans="1:8" ht="12.75">
      <c r="A19" s="666"/>
      <c r="B19" s="671"/>
      <c r="D19" s="669"/>
      <c r="E19" s="669"/>
      <c r="F19" s="669"/>
      <c r="G19" s="669"/>
      <c r="H19" s="669"/>
    </row>
    <row r="20" spans="1:8" ht="12.75">
      <c r="A20" s="666"/>
      <c r="B20" s="671"/>
      <c r="C20" s="674"/>
      <c r="D20" s="669"/>
      <c r="E20" s="669"/>
      <c r="F20" s="669"/>
      <c r="G20" s="669"/>
      <c r="H20" s="669"/>
    </row>
    <row r="21" spans="1:8" ht="13.5" thickBot="1">
      <c r="A21" s="666"/>
      <c r="B21" s="671"/>
      <c r="C21" s="675"/>
      <c r="D21" s="676"/>
      <c r="E21" s="676"/>
      <c r="F21" s="676"/>
      <c r="G21" s="676"/>
      <c r="H21" s="676"/>
    </row>
    <row r="22" spans="1:8" ht="13.5" thickBot="1">
      <c r="A22" s="662"/>
      <c r="B22" s="659"/>
      <c r="C22" s="677" t="s">
        <v>796</v>
      </c>
      <c r="D22" s="665">
        <f>SUM(D24:D26)</f>
        <v>0</v>
      </c>
      <c r="E22" s="665">
        <f>SUM(E24:E26)</f>
        <v>0</v>
      </c>
      <c r="F22" s="665">
        <f>SUM(F24:F26)</f>
        <v>0</v>
      </c>
      <c r="G22" s="665">
        <f>SUM(G24:G26)</f>
        <v>0</v>
      </c>
      <c r="H22" s="665">
        <f>SUM(H24:H26)</f>
        <v>0</v>
      </c>
    </row>
    <row r="23" spans="1:8" ht="12.75">
      <c r="A23" s="666"/>
      <c r="B23" s="667"/>
      <c r="C23" s="668" t="s">
        <v>773</v>
      </c>
      <c r="D23" s="669"/>
      <c r="E23" s="669"/>
      <c r="F23" s="669"/>
      <c r="G23" s="669"/>
      <c r="H23" s="669"/>
    </row>
    <row r="24" spans="1:8" ht="12.75">
      <c r="A24" s="666"/>
      <c r="B24" s="667"/>
      <c r="C24" s="674"/>
      <c r="D24" s="669"/>
      <c r="E24" s="669"/>
      <c r="F24" s="669"/>
      <c r="G24" s="669"/>
      <c r="H24" s="669"/>
    </row>
    <row r="25" spans="1:8" ht="12.75">
      <c r="A25" s="666"/>
      <c r="B25" s="667"/>
      <c r="C25" s="674"/>
      <c r="D25" s="669"/>
      <c r="E25" s="669"/>
      <c r="F25" s="669"/>
      <c r="G25" s="669"/>
      <c r="H25" s="669"/>
    </row>
    <row r="26" spans="1:8" ht="13.5" thickBot="1">
      <c r="A26" s="678"/>
      <c r="B26" s="679"/>
      <c r="C26" s="674"/>
      <c r="D26" s="669"/>
      <c r="E26" s="669"/>
      <c r="F26" s="669"/>
      <c r="G26" s="669"/>
      <c r="H26" s="676"/>
    </row>
    <row r="27" spans="1:8" ht="13.5" thickBot="1">
      <c r="A27" s="662"/>
      <c r="B27" s="659"/>
      <c r="C27" s="677" t="s">
        <v>797</v>
      </c>
      <c r="D27" s="665">
        <f>SUM(D29:D31)</f>
        <v>0</v>
      </c>
      <c r="E27" s="665">
        <f>SUM(E29:E31)</f>
        <v>0</v>
      </c>
      <c r="F27" s="665">
        <f>SUM(F29:F31)</f>
        <v>0</v>
      </c>
      <c r="G27" s="665">
        <f>SUM(G29:G31)</f>
        <v>0</v>
      </c>
      <c r="H27" s="665">
        <f>SUM(H29:H31)</f>
        <v>0</v>
      </c>
    </row>
    <row r="28" spans="1:8" ht="12.75">
      <c r="A28" s="666"/>
      <c r="B28" s="679"/>
      <c r="C28" s="672" t="s">
        <v>773</v>
      </c>
      <c r="D28" s="669"/>
      <c r="E28" s="669"/>
      <c r="F28" s="669"/>
      <c r="G28" s="669"/>
      <c r="H28" s="669"/>
    </row>
    <row r="29" spans="1:8" ht="12.75">
      <c r="A29" s="666"/>
      <c r="B29" s="679"/>
      <c r="C29" s="672"/>
      <c r="D29" s="669"/>
      <c r="E29" s="669"/>
      <c r="F29" s="669"/>
      <c r="G29" s="669"/>
      <c r="H29" s="669"/>
    </row>
    <row r="30" spans="1:8" ht="12.75">
      <c r="A30" s="678"/>
      <c r="B30" s="679"/>
      <c r="C30" s="674"/>
      <c r="D30" s="669"/>
      <c r="E30" s="669"/>
      <c r="F30" s="669"/>
      <c r="G30" s="669"/>
      <c r="H30" s="669"/>
    </row>
    <row r="31" spans="1:8" ht="13.5" thickBot="1">
      <c r="A31" s="678"/>
      <c r="B31" s="679"/>
      <c r="C31" s="675"/>
      <c r="D31" s="676"/>
      <c r="E31" s="676"/>
      <c r="F31" s="676"/>
      <c r="G31" s="676"/>
      <c r="H31" s="676"/>
    </row>
    <row r="32" spans="1:8" ht="26.25" thickBot="1">
      <c r="A32" s="680"/>
      <c r="B32" s="659"/>
      <c r="C32" s="681" t="s">
        <v>776</v>
      </c>
      <c r="D32" s="676">
        <f>D15+D22+D27</f>
        <v>81627</v>
      </c>
      <c r="E32" s="676">
        <f>E15+E22+E27</f>
        <v>81627</v>
      </c>
      <c r="F32" s="676">
        <f>F15+F22+F27</f>
        <v>0</v>
      </c>
      <c r="G32" s="676">
        <f>G15+G22+G27</f>
        <v>81627</v>
      </c>
      <c r="H32" s="676">
        <f>H15+H22+H27</f>
        <v>0</v>
      </c>
    </row>
    <row r="33" spans="1:8" ht="12.75">
      <c r="A33" s="682"/>
      <c r="B33" s="683"/>
      <c r="C33" s="684"/>
      <c r="D33" s="682"/>
      <c r="E33" s="682"/>
      <c r="F33" s="682"/>
      <c r="G33" s="682"/>
      <c r="H33" s="682"/>
    </row>
    <row r="34" ht="12.75">
      <c r="A34" s="685" t="s">
        <v>777</v>
      </c>
    </row>
    <row r="35" spans="1:8" ht="13.5">
      <c r="A35" s="686" t="s">
        <v>798</v>
      </c>
      <c r="C35" s="685"/>
      <c r="D35" s="647"/>
      <c r="E35" s="647"/>
      <c r="F35" s="647"/>
      <c r="G35" s="647"/>
      <c r="H35" s="647"/>
    </row>
    <row r="36" spans="1:8" ht="12.75">
      <c r="A36" s="685" t="s">
        <v>778</v>
      </c>
      <c r="C36" s="685"/>
      <c r="D36" s="647"/>
      <c r="E36" s="647"/>
      <c r="F36" s="647"/>
      <c r="G36" s="647"/>
      <c r="H36" s="647"/>
    </row>
    <row r="37" spans="1:8" ht="12.75">
      <c r="A37" s="687" t="s">
        <v>779</v>
      </c>
      <c r="C37" s="685"/>
      <c r="D37" s="647"/>
      <c r="E37" s="647"/>
      <c r="F37" s="647"/>
      <c r="G37" s="647"/>
      <c r="H37" s="647"/>
    </row>
    <row r="38" ht="12.75">
      <c r="A38" s="685" t="s">
        <v>780</v>
      </c>
    </row>
    <row r="39" spans="1:3" ht="12.75">
      <c r="A39" s="688" t="s">
        <v>781</v>
      </c>
      <c r="C39" s="685"/>
    </row>
    <row r="40" spans="1:7" ht="12.75">
      <c r="A40" s="687" t="s">
        <v>782</v>
      </c>
      <c r="B40" s="647"/>
      <c r="C40" s="687"/>
      <c r="D40" s="647"/>
      <c r="E40" s="647"/>
      <c r="F40" s="647"/>
      <c r="G40" s="647"/>
    </row>
    <row r="41" spans="1:3" ht="12.75">
      <c r="A41" s="687" t="s">
        <v>783</v>
      </c>
      <c r="B41" s="647"/>
      <c r="C41" s="687"/>
    </row>
    <row r="42" spans="1:3" ht="12.75">
      <c r="A42" s="685" t="s">
        <v>784</v>
      </c>
      <c r="C42" s="685"/>
    </row>
    <row r="43" spans="1:3" ht="12.75">
      <c r="A43" s="685" t="s">
        <v>785</v>
      </c>
      <c r="C43" s="685"/>
    </row>
    <row r="44" spans="1:3" ht="12.75">
      <c r="A44" s="673"/>
      <c r="C44" s="685"/>
    </row>
    <row r="45" spans="1:3" ht="12.75">
      <c r="A45" s="689" t="s">
        <v>786</v>
      </c>
      <c r="C45" s="685"/>
    </row>
    <row r="47" spans="1:7" ht="12.75">
      <c r="A47" s="624" t="s">
        <v>787</v>
      </c>
      <c r="C47" s="624" t="s">
        <v>788</v>
      </c>
      <c r="F47" s="624" t="s">
        <v>789</v>
      </c>
      <c r="G47" s="624" t="s">
        <v>790</v>
      </c>
    </row>
    <row r="48" spans="1:7" ht="12.75">
      <c r="A48" s="624" t="s">
        <v>791</v>
      </c>
      <c r="C48" s="690">
        <v>40209</v>
      </c>
      <c r="F48" s="624" t="s">
        <v>791</v>
      </c>
      <c r="G48" s="690">
        <v>40209</v>
      </c>
    </row>
  </sheetData>
  <mergeCells count="7">
    <mergeCell ref="G2:H2"/>
    <mergeCell ref="A9:H9"/>
    <mergeCell ref="C11:G11"/>
    <mergeCell ref="A8:H8"/>
    <mergeCell ref="A7:H7"/>
    <mergeCell ref="A10:H10"/>
    <mergeCell ref="G4:H4"/>
  </mergeCells>
  <printOptions horizontalCentered="1"/>
  <pageMargins left="0.5905511811023623" right="0.5905511811023623" top="0.31496062992125984" bottom="0.6299212598425197" header="0.5118110236220472" footer="0.5118110236220472"/>
  <pageSetup horizontalDpi="300" verticalDpi="300" orientation="landscape" paperSize="9" scale="75"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dimension ref="A1:H48"/>
  <sheetViews>
    <sheetView workbookViewId="0" topLeftCell="A1">
      <selection activeCell="E49" sqref="E49"/>
    </sheetView>
  </sheetViews>
  <sheetFormatPr defaultColWidth="9.140625" defaultRowHeight="12.75"/>
  <cols>
    <col min="1" max="1" width="17.421875" style="694" customWidth="1"/>
    <col min="2" max="2" width="6.7109375" style="694" customWidth="1"/>
    <col min="3" max="3" width="50.7109375" style="694" customWidth="1"/>
    <col min="4" max="6" width="15.57421875" style="694" customWidth="1"/>
    <col min="7" max="7" width="16.28125" style="694" customWidth="1"/>
    <col min="8" max="8" width="15.57421875" style="694" customWidth="1"/>
    <col min="9" max="16384" width="9.140625" style="694" customWidth="1"/>
  </cols>
  <sheetData>
    <row r="1" spans="1:8" ht="12.75">
      <c r="A1" s="691"/>
      <c r="B1" s="692"/>
      <c r="C1" s="693"/>
      <c r="H1" s="691"/>
    </row>
    <row r="2" spans="2:8" ht="12.75">
      <c r="B2" s="695"/>
      <c r="C2" s="696"/>
      <c r="G2" s="1319" t="s">
        <v>754</v>
      </c>
      <c r="H2" s="1319"/>
    </row>
    <row r="3" ht="12.75">
      <c r="A3" s="694" t="s">
        <v>805</v>
      </c>
    </row>
    <row r="4" spans="1:8" ht="14.25">
      <c r="A4" s="694" t="s">
        <v>793</v>
      </c>
      <c r="G4" s="1349" t="s">
        <v>799</v>
      </c>
      <c r="H4" s="1349"/>
    </row>
    <row r="5" ht="12.75">
      <c r="A5" s="694" t="s">
        <v>806</v>
      </c>
    </row>
    <row r="7" spans="1:8" ht="12.75">
      <c r="A7" s="1322" t="s">
        <v>758</v>
      </c>
      <c r="B7" s="1322"/>
      <c r="C7" s="1322"/>
      <c r="D7" s="1322"/>
      <c r="E7" s="1322"/>
      <c r="F7" s="1322"/>
      <c r="G7" s="1322"/>
      <c r="H7" s="1322"/>
    </row>
    <row r="8" spans="1:8" ht="12.75">
      <c r="A8" s="1348" t="s">
        <v>759</v>
      </c>
      <c r="B8" s="1348"/>
      <c r="C8" s="1348"/>
      <c r="D8" s="1348"/>
      <c r="E8" s="1348"/>
      <c r="F8" s="1348"/>
      <c r="G8" s="1348"/>
      <c r="H8" s="1348"/>
    </row>
    <row r="9" spans="1:8" ht="12.75">
      <c r="A9" s="1320" t="s">
        <v>794</v>
      </c>
      <c r="B9" s="1321"/>
      <c r="C9" s="1321"/>
      <c r="D9" s="1321"/>
      <c r="E9" s="1321"/>
      <c r="F9" s="1321"/>
      <c r="G9" s="1321"/>
      <c r="H9" s="1321"/>
    </row>
    <row r="10" spans="1:8" ht="12.75">
      <c r="A10" s="1348" t="s">
        <v>760</v>
      </c>
      <c r="B10" s="1348"/>
      <c r="C10" s="1348"/>
      <c r="D10" s="1348"/>
      <c r="E10" s="1348"/>
      <c r="F10" s="1348"/>
      <c r="G10" s="1348"/>
      <c r="H10" s="1348"/>
    </row>
    <row r="11" spans="1:8" ht="12.75">
      <c r="A11" s="645"/>
      <c r="B11" s="645"/>
      <c r="C11" s="1322"/>
      <c r="D11" s="1322"/>
      <c r="E11" s="1322"/>
      <c r="F11" s="1322"/>
      <c r="G11" s="1322"/>
      <c r="H11" s="645"/>
    </row>
    <row r="12" ht="13.5" thickBot="1">
      <c r="H12" s="697" t="s">
        <v>761</v>
      </c>
    </row>
    <row r="13" spans="1:8" s="703" customFormat="1" ht="90" thickBot="1">
      <c r="A13" s="698" t="s">
        <v>762</v>
      </c>
      <c r="B13" s="699" t="s">
        <v>763</v>
      </c>
      <c r="C13" s="700" t="s">
        <v>764</v>
      </c>
      <c r="D13" s="701" t="s">
        <v>481</v>
      </c>
      <c r="E13" s="701" t="s">
        <v>765</v>
      </c>
      <c r="F13" s="702" t="s">
        <v>795</v>
      </c>
      <c r="G13" s="701" t="s">
        <v>766</v>
      </c>
      <c r="H13" s="701" t="s">
        <v>767</v>
      </c>
    </row>
    <row r="14" spans="1:8" ht="13.5" thickBot="1">
      <c r="A14" s="704" t="s">
        <v>768</v>
      </c>
      <c r="B14" s="705" t="s">
        <v>769</v>
      </c>
      <c r="C14" s="706" t="s">
        <v>770</v>
      </c>
      <c r="D14" s="706">
        <v>1</v>
      </c>
      <c r="E14" s="706">
        <v>2</v>
      </c>
      <c r="F14" s="707">
        <v>3</v>
      </c>
      <c r="G14" s="706">
        <v>4</v>
      </c>
      <c r="H14" s="706" t="s">
        <v>771</v>
      </c>
    </row>
    <row r="15" spans="1:8" ht="13.5" thickBot="1">
      <c r="A15" s="708"/>
      <c r="B15" s="709"/>
      <c r="C15" s="710" t="s">
        <v>772</v>
      </c>
      <c r="D15" s="711">
        <f>SUM(D17:D21)</f>
        <v>18889075</v>
      </c>
      <c r="E15" s="711">
        <f>SUM(E17:E21)</f>
        <v>18889075</v>
      </c>
      <c r="F15" s="711">
        <f>SUM(F17:F21)</f>
        <v>0</v>
      </c>
      <c r="G15" s="711">
        <f>SUM(G17:G21)</f>
        <v>24000360.22</v>
      </c>
      <c r="H15" s="711">
        <f>SUM(H17:H21)</f>
        <v>-5111285.22</v>
      </c>
    </row>
    <row r="16" spans="1:8" ht="12.75">
      <c r="A16" s="712"/>
      <c r="B16" s="713"/>
      <c r="C16" s="714" t="s">
        <v>773</v>
      </c>
      <c r="D16" s="715"/>
      <c r="E16" s="715"/>
      <c r="F16" s="715"/>
      <c r="G16" s="715"/>
      <c r="H16" s="716"/>
    </row>
    <row r="17" spans="1:8" ht="12.75">
      <c r="A17" s="712"/>
      <c r="B17" s="717">
        <v>98071</v>
      </c>
      <c r="C17" s="718" t="s">
        <v>800</v>
      </c>
      <c r="D17" s="715">
        <v>2127000</v>
      </c>
      <c r="E17" s="715">
        <v>2127000</v>
      </c>
      <c r="F17" s="715">
        <v>0</v>
      </c>
      <c r="G17" s="715">
        <v>3979272.71</v>
      </c>
      <c r="H17" s="715">
        <f aca="true" t="shared" si="0" ref="H17:H22">E17-F17-G17</f>
        <v>-1852272.71</v>
      </c>
    </row>
    <row r="18" spans="1:8" ht="12.75">
      <c r="A18" s="712"/>
      <c r="B18" s="717">
        <v>98187</v>
      </c>
      <c r="C18" s="719" t="s">
        <v>801</v>
      </c>
      <c r="D18" s="715">
        <v>3203000</v>
      </c>
      <c r="E18" s="715">
        <v>3203000</v>
      </c>
      <c r="F18" s="715">
        <v>0</v>
      </c>
      <c r="G18" s="715">
        <v>6462013.09</v>
      </c>
      <c r="H18" s="715">
        <f t="shared" si="0"/>
        <v>-3259013.09</v>
      </c>
    </row>
    <row r="19" spans="1:8" ht="12.75">
      <c r="A19" s="712"/>
      <c r="B19" s="717">
        <v>98005</v>
      </c>
      <c r="C19" s="719" t="s">
        <v>802</v>
      </c>
      <c r="D19" s="715">
        <v>158633</v>
      </c>
      <c r="E19" s="715">
        <v>158633</v>
      </c>
      <c r="F19" s="715">
        <v>0</v>
      </c>
      <c r="G19" s="715">
        <v>158633</v>
      </c>
      <c r="H19" s="715">
        <f t="shared" si="0"/>
        <v>0</v>
      </c>
    </row>
    <row r="20" spans="1:8" ht="12.75">
      <c r="A20" s="712"/>
      <c r="B20" s="717">
        <v>98216</v>
      </c>
      <c r="C20" s="719" t="s">
        <v>803</v>
      </c>
      <c r="D20" s="715">
        <v>10969142</v>
      </c>
      <c r="E20" s="715">
        <v>10969142</v>
      </c>
      <c r="F20" s="715">
        <v>0</v>
      </c>
      <c r="G20" s="715">
        <v>10969142</v>
      </c>
      <c r="H20" s="715">
        <f t="shared" si="0"/>
        <v>0</v>
      </c>
    </row>
    <row r="21" spans="1:8" ht="13.5" thickBot="1">
      <c r="A21" s="712"/>
      <c r="B21" s="717">
        <v>98116</v>
      </c>
      <c r="C21" s="720" t="s">
        <v>804</v>
      </c>
      <c r="D21" s="721">
        <v>2431300</v>
      </c>
      <c r="E21" s="721">
        <v>2431300</v>
      </c>
      <c r="F21" s="721">
        <v>0</v>
      </c>
      <c r="G21" s="721">
        <v>2431299.42</v>
      </c>
      <c r="H21" s="715">
        <f t="shared" si="0"/>
        <v>0.5800000000745058</v>
      </c>
    </row>
    <row r="22" spans="1:8" ht="13.5" thickBot="1">
      <c r="A22" s="708"/>
      <c r="B22" s="705"/>
      <c r="C22" s="722" t="s">
        <v>796</v>
      </c>
      <c r="D22" s="711">
        <f>SUM(D24:D26)</f>
        <v>0</v>
      </c>
      <c r="E22" s="711">
        <f>SUM(E24:E26)</f>
        <v>0</v>
      </c>
      <c r="F22" s="711">
        <f>SUM(F24:F26)</f>
        <v>0</v>
      </c>
      <c r="G22" s="711">
        <f>SUM(G24:G26)</f>
        <v>0</v>
      </c>
      <c r="H22" s="711">
        <f t="shared" si="0"/>
        <v>0</v>
      </c>
    </row>
    <row r="23" spans="1:8" ht="12.75">
      <c r="A23" s="712"/>
      <c r="B23" s="713"/>
      <c r="C23" s="714" t="s">
        <v>773</v>
      </c>
      <c r="D23" s="715"/>
      <c r="E23" s="715"/>
      <c r="F23" s="715"/>
      <c r="G23" s="715"/>
      <c r="H23" s="715"/>
    </row>
    <row r="24" spans="1:8" ht="12.75">
      <c r="A24" s="712"/>
      <c r="B24" s="717"/>
      <c r="C24" s="719"/>
      <c r="D24" s="715"/>
      <c r="E24" s="715"/>
      <c r="F24" s="715"/>
      <c r="G24" s="715"/>
      <c r="H24" s="715"/>
    </row>
    <row r="25" spans="1:8" ht="12.75">
      <c r="A25" s="712"/>
      <c r="B25" s="713"/>
      <c r="C25" s="719"/>
      <c r="D25" s="715"/>
      <c r="E25" s="715"/>
      <c r="F25" s="715"/>
      <c r="G25" s="715"/>
      <c r="H25" s="715"/>
    </row>
    <row r="26" spans="1:8" ht="13.5" thickBot="1">
      <c r="A26" s="723"/>
      <c r="B26" s="724"/>
      <c r="C26" s="719"/>
      <c r="D26" s="715"/>
      <c r="E26" s="715"/>
      <c r="F26" s="715"/>
      <c r="G26" s="715"/>
      <c r="H26" s="721"/>
    </row>
    <row r="27" spans="1:8" ht="13.5" thickBot="1">
      <c r="A27" s="708"/>
      <c r="B27" s="705"/>
      <c r="C27" s="722" t="s">
        <v>797</v>
      </c>
      <c r="D27" s="711">
        <f>SUM(D29:D31)</f>
        <v>0</v>
      </c>
      <c r="E27" s="711">
        <f>SUM(E29:E31)</f>
        <v>0</v>
      </c>
      <c r="F27" s="711">
        <f>SUM(F29:F31)</f>
        <v>0</v>
      </c>
      <c r="G27" s="711">
        <f>SUM(G29:G31)</f>
        <v>0</v>
      </c>
      <c r="H27" s="711">
        <f>E27-F27-G27</f>
        <v>0</v>
      </c>
    </row>
    <row r="28" spans="1:8" ht="12.75">
      <c r="A28" s="712"/>
      <c r="B28" s="724"/>
      <c r="C28" s="718" t="s">
        <v>773</v>
      </c>
      <c r="D28" s="715"/>
      <c r="E28" s="715"/>
      <c r="F28" s="715"/>
      <c r="G28" s="715"/>
      <c r="H28" s="715"/>
    </row>
    <row r="29" spans="1:8" ht="12.75">
      <c r="A29" s="712"/>
      <c r="B29" s="724"/>
      <c r="C29" s="718"/>
      <c r="D29" s="715"/>
      <c r="E29" s="715"/>
      <c r="F29" s="715"/>
      <c r="G29" s="715"/>
      <c r="H29" s="715"/>
    </row>
    <row r="30" spans="1:8" ht="12.75">
      <c r="A30" s="723"/>
      <c r="B30" s="724"/>
      <c r="C30" s="719"/>
      <c r="D30" s="715"/>
      <c r="E30" s="715"/>
      <c r="F30" s="715"/>
      <c r="G30" s="715"/>
      <c r="H30" s="715"/>
    </row>
    <row r="31" spans="1:8" ht="13.5" thickBot="1">
      <c r="A31" s="723"/>
      <c r="B31" s="724"/>
      <c r="C31" s="720"/>
      <c r="D31" s="721"/>
      <c r="E31" s="721"/>
      <c r="F31" s="721"/>
      <c r="G31" s="721"/>
      <c r="H31" s="721"/>
    </row>
    <row r="32" spans="1:8" ht="26.25" thickBot="1">
      <c r="A32" s="725"/>
      <c r="B32" s="705"/>
      <c r="C32" s="726" t="s">
        <v>776</v>
      </c>
      <c r="D32" s="721">
        <f>D15+D22+D27</f>
        <v>18889075</v>
      </c>
      <c r="E32" s="721">
        <f>E15+E22+E27</f>
        <v>18889075</v>
      </c>
      <c r="F32" s="721">
        <f>F15+F22+F27</f>
        <v>0</v>
      </c>
      <c r="G32" s="721">
        <f>G15+G22+G27</f>
        <v>24000360.22</v>
      </c>
      <c r="H32" s="721">
        <f>H15+H22+H27</f>
        <v>-5111285.22</v>
      </c>
    </row>
    <row r="33" spans="1:8" ht="12.75">
      <c r="A33" s="727"/>
      <c r="B33" s="728"/>
      <c r="C33" s="729"/>
      <c r="D33" s="727"/>
      <c r="E33" s="727"/>
      <c r="F33" s="727"/>
      <c r="G33" s="727"/>
      <c r="H33" s="727"/>
    </row>
    <row r="34" ht="12.75">
      <c r="A34" s="730" t="s">
        <v>777</v>
      </c>
    </row>
    <row r="35" spans="1:8" ht="13.5">
      <c r="A35" s="731" t="s">
        <v>798</v>
      </c>
      <c r="C35" s="730"/>
      <c r="D35" s="696"/>
      <c r="E35" s="696"/>
      <c r="F35" s="696"/>
      <c r="G35" s="696"/>
      <c r="H35" s="696"/>
    </row>
    <row r="36" spans="1:8" ht="12.75">
      <c r="A36" s="730" t="s">
        <v>778</v>
      </c>
      <c r="C36" s="730"/>
      <c r="D36" s="696"/>
      <c r="E36" s="696"/>
      <c r="F36" s="696"/>
      <c r="G36" s="696"/>
      <c r="H36" s="696"/>
    </row>
    <row r="37" spans="1:8" ht="12.75">
      <c r="A37" s="732" t="s">
        <v>779</v>
      </c>
      <c r="C37" s="730"/>
      <c r="D37" s="696"/>
      <c r="E37" s="696"/>
      <c r="F37" s="696"/>
      <c r="G37" s="696"/>
      <c r="H37" s="696"/>
    </row>
    <row r="38" ht="12.75">
      <c r="A38" s="730" t="s">
        <v>780</v>
      </c>
    </row>
    <row r="39" spans="1:3" ht="12.75">
      <c r="A39" s="733" t="s">
        <v>781</v>
      </c>
      <c r="C39" s="730"/>
    </row>
    <row r="40" spans="1:7" ht="12.75">
      <c r="A40" s="732" t="s">
        <v>782</v>
      </c>
      <c r="B40" s="696"/>
      <c r="C40" s="732"/>
      <c r="D40" s="696"/>
      <c r="E40" s="696"/>
      <c r="F40" s="696"/>
      <c r="G40" s="696"/>
    </row>
    <row r="41" spans="1:3" ht="12.75">
      <c r="A41" s="732" t="s">
        <v>783</v>
      </c>
      <c r="B41" s="696"/>
      <c r="C41" s="732"/>
    </row>
    <row r="42" spans="1:3" ht="12.75">
      <c r="A42" s="730" t="s">
        <v>784</v>
      </c>
      <c r="C42" s="730"/>
    </row>
    <row r="43" spans="1:3" ht="12.75">
      <c r="A43" s="730" t="s">
        <v>785</v>
      </c>
      <c r="C43" s="730"/>
    </row>
    <row r="44" spans="1:3" ht="12.75">
      <c r="A44" s="734"/>
      <c r="C44" s="730"/>
    </row>
    <row r="45" spans="1:3" ht="12.75">
      <c r="A45" s="735" t="s">
        <v>786</v>
      </c>
      <c r="C45" s="730"/>
    </row>
    <row r="47" spans="1:7" ht="12.75">
      <c r="A47" s="694" t="s">
        <v>787</v>
      </c>
      <c r="C47" s="694" t="s">
        <v>788</v>
      </c>
      <c r="F47" s="694" t="s">
        <v>789</v>
      </c>
      <c r="G47" s="694" t="s">
        <v>790</v>
      </c>
    </row>
    <row r="48" spans="1:7" ht="12.75">
      <c r="A48" s="694" t="s">
        <v>791</v>
      </c>
      <c r="C48" s="736">
        <v>40574</v>
      </c>
      <c r="F48" s="694" t="s">
        <v>791</v>
      </c>
      <c r="G48" s="736">
        <v>40574</v>
      </c>
    </row>
  </sheetData>
  <mergeCells count="7">
    <mergeCell ref="G2:H2"/>
    <mergeCell ref="A9:H9"/>
    <mergeCell ref="C11:G11"/>
    <mergeCell ref="A8:H8"/>
    <mergeCell ref="A7:H7"/>
    <mergeCell ref="A10:H10"/>
    <mergeCell ref="G4:H4"/>
  </mergeCells>
  <printOptions horizontalCentered="1"/>
  <pageMargins left="0.5905511811023623" right="0.5905511811023623" top="0.31496062992125984" bottom="0.6299212598425197" header="0.5118110236220472" footer="0.5118110236220472"/>
  <pageSetup horizontalDpi="300" verticalDpi="300" orientation="landscape" paperSize="9" scale="75" r:id="rId1"/>
  <headerFooter alignWithMargins="0">
    <oddFooter>&amp;C16</oddFooter>
  </headerFooter>
</worksheet>
</file>

<file path=xl/worksheets/sheet14.xml><?xml version="1.0" encoding="utf-8"?>
<worksheet xmlns="http://schemas.openxmlformats.org/spreadsheetml/2006/main" xmlns:r="http://schemas.openxmlformats.org/officeDocument/2006/relationships">
  <dimension ref="A1:H48"/>
  <sheetViews>
    <sheetView workbookViewId="0" topLeftCell="A1">
      <selection activeCell="C49" sqref="C48:C49"/>
    </sheetView>
  </sheetViews>
  <sheetFormatPr defaultColWidth="9.140625" defaultRowHeight="12.75"/>
  <cols>
    <col min="1" max="1" width="17.421875" style="740" customWidth="1"/>
    <col min="2" max="2" width="6.7109375" style="740" customWidth="1"/>
    <col min="3" max="3" width="50.7109375" style="740" customWidth="1"/>
    <col min="4" max="6" width="15.57421875" style="740" customWidth="1"/>
    <col min="7" max="7" width="16.28125" style="740" customWidth="1"/>
    <col min="8" max="8" width="15.57421875" style="740" customWidth="1"/>
    <col min="9" max="16384" width="9.140625" style="740" customWidth="1"/>
  </cols>
  <sheetData>
    <row r="1" spans="1:8" ht="12.75">
      <c r="A1" s="737"/>
      <c r="B1" s="738"/>
      <c r="C1" s="739"/>
      <c r="H1" s="737"/>
    </row>
    <row r="2" spans="2:8" ht="12.75">
      <c r="B2" s="741"/>
      <c r="C2" s="742"/>
      <c r="G2" s="1350" t="s">
        <v>754</v>
      </c>
      <c r="H2" s="1350"/>
    </row>
    <row r="3" ht="12.75">
      <c r="A3" s="740" t="s">
        <v>805</v>
      </c>
    </row>
    <row r="4" spans="1:8" ht="14.25">
      <c r="A4" s="740" t="s">
        <v>793</v>
      </c>
      <c r="G4" s="1355" t="s">
        <v>756</v>
      </c>
      <c r="H4" s="1355"/>
    </row>
    <row r="5" ht="12.75">
      <c r="A5" s="740" t="s">
        <v>238</v>
      </c>
    </row>
    <row r="7" spans="1:8" ht="12.75">
      <c r="A7" s="1353" t="s">
        <v>758</v>
      </c>
      <c r="B7" s="1353"/>
      <c r="C7" s="1353"/>
      <c r="D7" s="1353"/>
      <c r="E7" s="1353"/>
      <c r="F7" s="1353"/>
      <c r="G7" s="1353"/>
      <c r="H7" s="1353"/>
    </row>
    <row r="8" spans="1:8" ht="12.75">
      <c r="A8" s="1354" t="s">
        <v>759</v>
      </c>
      <c r="B8" s="1354"/>
      <c r="C8" s="1354"/>
      <c r="D8" s="1354"/>
      <c r="E8" s="1354"/>
      <c r="F8" s="1354"/>
      <c r="G8" s="1354"/>
      <c r="H8" s="1354"/>
    </row>
    <row r="9" spans="1:8" ht="12.75">
      <c r="A9" s="1351" t="s">
        <v>794</v>
      </c>
      <c r="B9" s="1352"/>
      <c r="C9" s="1352"/>
      <c r="D9" s="1352"/>
      <c r="E9" s="1352"/>
      <c r="F9" s="1352"/>
      <c r="G9" s="1352"/>
      <c r="H9" s="1352"/>
    </row>
    <row r="10" spans="1:8" ht="12.75">
      <c r="A10" s="1354" t="s">
        <v>760</v>
      </c>
      <c r="B10" s="1354"/>
      <c r="C10" s="1354"/>
      <c r="D10" s="1354"/>
      <c r="E10" s="1354"/>
      <c r="F10" s="1354"/>
      <c r="G10" s="1354"/>
      <c r="H10" s="1354"/>
    </row>
    <row r="11" spans="1:8" ht="12.75">
      <c r="A11" s="743"/>
      <c r="B11" s="743"/>
      <c r="C11" s="1353"/>
      <c r="D11" s="1353"/>
      <c r="E11" s="1353"/>
      <c r="F11" s="1353"/>
      <c r="G11" s="1353"/>
      <c r="H11" s="743"/>
    </row>
    <row r="12" ht="13.5" thickBot="1">
      <c r="H12" s="744" t="s">
        <v>761</v>
      </c>
    </row>
    <row r="13" spans="1:8" s="750" customFormat="1" ht="90" thickBot="1">
      <c r="A13" s="745" t="s">
        <v>762</v>
      </c>
      <c r="B13" s="746" t="s">
        <v>763</v>
      </c>
      <c r="C13" s="747" t="s">
        <v>764</v>
      </c>
      <c r="D13" s="748" t="s">
        <v>481</v>
      </c>
      <c r="E13" s="748" t="s">
        <v>765</v>
      </c>
      <c r="F13" s="749" t="s">
        <v>795</v>
      </c>
      <c r="G13" s="748" t="s">
        <v>766</v>
      </c>
      <c r="H13" s="748" t="s">
        <v>767</v>
      </c>
    </row>
    <row r="14" spans="1:8" ht="13.5" thickBot="1">
      <c r="A14" s="751" t="s">
        <v>768</v>
      </c>
      <c r="B14" s="752" t="s">
        <v>769</v>
      </c>
      <c r="C14" s="753" t="s">
        <v>770</v>
      </c>
      <c r="D14" s="753">
        <v>1</v>
      </c>
      <c r="E14" s="753">
        <v>2</v>
      </c>
      <c r="F14" s="754">
        <v>3</v>
      </c>
      <c r="G14" s="753">
        <v>4</v>
      </c>
      <c r="H14" s="753" t="s">
        <v>771</v>
      </c>
    </row>
    <row r="15" spans="1:8" ht="13.5" thickBot="1">
      <c r="A15" s="755"/>
      <c r="B15" s="756"/>
      <c r="C15" s="757" t="s">
        <v>772</v>
      </c>
      <c r="D15" s="758">
        <f>SUM(D17:D21)</f>
        <v>4265000</v>
      </c>
      <c r="E15" s="758">
        <f>SUM(E17:E21)</f>
        <v>4265000</v>
      </c>
      <c r="F15" s="758">
        <f>SUM(F17:F21)</f>
        <v>0</v>
      </c>
      <c r="G15" s="758">
        <f>SUM(G17:G21)</f>
        <v>4265000</v>
      </c>
      <c r="H15" s="758">
        <f>SUM(H17:H21)</f>
        <v>0</v>
      </c>
    </row>
    <row r="16" spans="1:8" ht="12.75">
      <c r="A16" s="759"/>
      <c r="B16" s="760"/>
      <c r="C16" s="761" t="s">
        <v>773</v>
      </c>
      <c r="D16" s="762"/>
      <c r="E16" s="762"/>
      <c r="F16" s="762"/>
      <c r="G16" s="762"/>
      <c r="H16" s="763"/>
    </row>
    <row r="17" spans="1:8" ht="12.75">
      <c r="A17" s="759"/>
      <c r="B17" s="764">
        <v>34352</v>
      </c>
      <c r="C17" s="765" t="s">
        <v>807</v>
      </c>
      <c r="D17" s="762">
        <v>3600000</v>
      </c>
      <c r="E17" s="762">
        <v>3600000</v>
      </c>
      <c r="F17" s="762">
        <v>0</v>
      </c>
      <c r="G17" s="762">
        <v>3600000</v>
      </c>
      <c r="H17" s="762">
        <f>E17-F17-G17</f>
        <v>0</v>
      </c>
    </row>
    <row r="18" spans="1:8" ht="12.75">
      <c r="A18" s="759"/>
      <c r="B18" s="764">
        <v>34352</v>
      </c>
      <c r="C18" s="766" t="s">
        <v>237</v>
      </c>
      <c r="D18" s="762">
        <v>570000</v>
      </c>
      <c r="E18" s="762">
        <v>570000</v>
      </c>
      <c r="F18" s="762">
        <v>0</v>
      </c>
      <c r="G18" s="762">
        <v>570000</v>
      </c>
      <c r="H18" s="762">
        <f>E18-F18-G18</f>
        <v>0</v>
      </c>
    </row>
    <row r="19" spans="1:8" ht="12.75">
      <c r="A19" s="759"/>
      <c r="B19" s="764">
        <v>34070</v>
      </c>
      <c r="C19" s="766" t="s">
        <v>237</v>
      </c>
      <c r="D19" s="762">
        <v>95000</v>
      </c>
      <c r="E19" s="762">
        <v>95000</v>
      </c>
      <c r="F19" s="762">
        <v>0</v>
      </c>
      <c r="G19" s="762">
        <v>95000</v>
      </c>
      <c r="H19" s="762">
        <f>E19-F19-G19</f>
        <v>0</v>
      </c>
    </row>
    <row r="20" spans="1:8" ht="12.75">
      <c r="A20" s="759"/>
      <c r="B20" s="764"/>
      <c r="C20" s="766"/>
      <c r="D20" s="762"/>
      <c r="E20" s="762"/>
      <c r="F20" s="762"/>
      <c r="G20" s="762"/>
      <c r="H20" s="762"/>
    </row>
    <row r="21" spans="1:8" ht="13.5" thickBot="1">
      <c r="A21" s="759"/>
      <c r="B21" s="764"/>
      <c r="C21" s="767"/>
      <c r="D21" s="768"/>
      <c r="E21" s="768"/>
      <c r="F21" s="768"/>
      <c r="G21" s="768"/>
      <c r="H21" s="768"/>
    </row>
    <row r="22" spans="1:8" ht="13.5" thickBot="1">
      <c r="A22" s="755"/>
      <c r="B22" s="752"/>
      <c r="C22" s="769" t="s">
        <v>796</v>
      </c>
      <c r="D22" s="758">
        <f>SUM(D24:D26)</f>
        <v>0</v>
      </c>
      <c r="E22" s="758">
        <f>SUM(E24:E26)</f>
        <v>0</v>
      </c>
      <c r="F22" s="758">
        <f>SUM(F24:F26)</f>
        <v>0</v>
      </c>
      <c r="G22" s="758">
        <f>SUM(G24:G26)</f>
        <v>0</v>
      </c>
      <c r="H22" s="758">
        <f>E22-F22-G22</f>
        <v>0</v>
      </c>
    </row>
    <row r="23" spans="1:8" ht="12.75">
      <c r="A23" s="759"/>
      <c r="B23" s="760"/>
      <c r="C23" s="761" t="s">
        <v>773</v>
      </c>
      <c r="D23" s="762"/>
      <c r="E23" s="762"/>
      <c r="F23" s="762"/>
      <c r="G23" s="762"/>
      <c r="H23" s="762"/>
    </row>
    <row r="24" spans="1:8" ht="12.75">
      <c r="A24" s="759"/>
      <c r="B24" s="760"/>
      <c r="C24" s="766"/>
      <c r="D24" s="762"/>
      <c r="E24" s="762"/>
      <c r="F24" s="762"/>
      <c r="G24" s="762"/>
      <c r="H24" s="762"/>
    </row>
    <row r="25" spans="1:8" ht="12.75">
      <c r="A25" s="759"/>
      <c r="B25" s="760"/>
      <c r="C25" s="766"/>
      <c r="D25" s="762"/>
      <c r="E25" s="762"/>
      <c r="F25" s="762"/>
      <c r="G25" s="762"/>
      <c r="H25" s="762"/>
    </row>
    <row r="26" spans="1:8" ht="13.5" thickBot="1">
      <c r="A26" s="770"/>
      <c r="B26" s="771"/>
      <c r="C26" s="766"/>
      <c r="D26" s="762"/>
      <c r="E26" s="762"/>
      <c r="F26" s="762"/>
      <c r="G26" s="762"/>
      <c r="H26" s="768"/>
    </row>
    <row r="27" spans="1:8" ht="13.5" thickBot="1">
      <c r="A27" s="755"/>
      <c r="B27" s="752"/>
      <c r="C27" s="769" t="s">
        <v>797</v>
      </c>
      <c r="D27" s="758">
        <f>SUM(D29:D31)</f>
        <v>0</v>
      </c>
      <c r="E27" s="758">
        <f>SUM(E29:E31)</f>
        <v>0</v>
      </c>
      <c r="F27" s="758">
        <f>SUM(F29:F31)</f>
        <v>0</v>
      </c>
      <c r="G27" s="758">
        <f>SUM(G29:G31)</f>
        <v>0</v>
      </c>
      <c r="H27" s="758">
        <f>E27-F27-G27</f>
        <v>0</v>
      </c>
    </row>
    <row r="28" spans="1:8" ht="12.75">
      <c r="A28" s="759"/>
      <c r="B28" s="771"/>
      <c r="C28" s="765" t="s">
        <v>773</v>
      </c>
      <c r="D28" s="762"/>
      <c r="E28" s="762"/>
      <c r="F28" s="762"/>
      <c r="G28" s="762"/>
      <c r="H28" s="762"/>
    </row>
    <row r="29" spans="1:8" ht="12.75">
      <c r="A29" s="759"/>
      <c r="B29" s="771"/>
      <c r="C29" s="765"/>
      <c r="D29" s="762"/>
      <c r="E29" s="762"/>
      <c r="F29" s="762"/>
      <c r="G29" s="762"/>
      <c r="H29" s="762"/>
    </row>
    <row r="30" spans="1:8" ht="12.75">
      <c r="A30" s="770"/>
      <c r="B30" s="771"/>
      <c r="C30" s="766"/>
      <c r="D30" s="762"/>
      <c r="E30" s="762"/>
      <c r="F30" s="762"/>
      <c r="G30" s="762"/>
      <c r="H30" s="762"/>
    </row>
    <row r="31" spans="1:8" ht="13.5" thickBot="1">
      <c r="A31" s="770"/>
      <c r="B31" s="771"/>
      <c r="C31" s="767"/>
      <c r="D31" s="768"/>
      <c r="E31" s="768"/>
      <c r="F31" s="768"/>
      <c r="G31" s="768"/>
      <c r="H31" s="768"/>
    </row>
    <row r="32" spans="1:8" ht="26.25" thickBot="1">
      <c r="A32" s="772"/>
      <c r="B32" s="752"/>
      <c r="C32" s="773" t="s">
        <v>776</v>
      </c>
      <c r="D32" s="768">
        <f>D15+D22+D27</f>
        <v>4265000</v>
      </c>
      <c r="E32" s="768">
        <f>E15+E22+E27</f>
        <v>4265000</v>
      </c>
      <c r="F32" s="768">
        <f>F15+F22+F27</f>
        <v>0</v>
      </c>
      <c r="G32" s="768">
        <f>G15+G22+G27</f>
        <v>4265000</v>
      </c>
      <c r="H32" s="768">
        <f>H15+H22+H27</f>
        <v>0</v>
      </c>
    </row>
    <row r="33" spans="1:8" ht="12.75">
      <c r="A33" s="774"/>
      <c r="B33" s="775"/>
      <c r="C33" s="776"/>
      <c r="D33" s="774"/>
      <c r="E33" s="774"/>
      <c r="F33" s="774"/>
      <c r="G33" s="774"/>
      <c r="H33" s="774"/>
    </row>
    <row r="34" ht="12.75">
      <c r="A34" s="777" t="s">
        <v>777</v>
      </c>
    </row>
    <row r="35" spans="1:8" ht="13.5">
      <c r="A35" s="778" t="s">
        <v>798</v>
      </c>
      <c r="C35" s="777"/>
      <c r="D35" s="742"/>
      <c r="E35" s="742"/>
      <c r="F35" s="742"/>
      <c r="G35" s="742"/>
      <c r="H35" s="742"/>
    </row>
    <row r="36" spans="1:8" ht="12.75">
      <c r="A36" s="777" t="s">
        <v>778</v>
      </c>
      <c r="C36" s="777"/>
      <c r="D36" s="742"/>
      <c r="E36" s="742"/>
      <c r="F36" s="742"/>
      <c r="G36" s="742"/>
      <c r="H36" s="742"/>
    </row>
    <row r="37" spans="1:8" ht="12.75">
      <c r="A37" s="779" t="s">
        <v>779</v>
      </c>
      <c r="C37" s="777"/>
      <c r="D37" s="742"/>
      <c r="E37" s="742"/>
      <c r="F37" s="742"/>
      <c r="G37" s="742"/>
      <c r="H37" s="742"/>
    </row>
    <row r="38" ht="12.75">
      <c r="A38" s="777" t="s">
        <v>780</v>
      </c>
    </row>
    <row r="39" spans="1:3" ht="12.75">
      <c r="A39" s="780" t="s">
        <v>781</v>
      </c>
      <c r="C39" s="777"/>
    </row>
    <row r="40" spans="1:7" ht="12.75">
      <c r="A40" s="779" t="s">
        <v>782</v>
      </c>
      <c r="B40" s="742"/>
      <c r="C40" s="779"/>
      <c r="D40" s="742"/>
      <c r="E40" s="742"/>
      <c r="F40" s="742"/>
      <c r="G40" s="742"/>
    </row>
    <row r="41" spans="1:3" ht="12.75">
      <c r="A41" s="779" t="s">
        <v>783</v>
      </c>
      <c r="B41" s="742"/>
      <c r="C41" s="779"/>
    </row>
    <row r="42" spans="1:3" ht="12.75">
      <c r="A42" s="777" t="s">
        <v>784</v>
      </c>
      <c r="C42" s="777"/>
    </row>
    <row r="43" spans="1:3" ht="12.75">
      <c r="A43" s="777" t="s">
        <v>785</v>
      </c>
      <c r="C43" s="777"/>
    </row>
    <row r="44" spans="1:3" ht="12.75">
      <c r="A44" s="781"/>
      <c r="C44" s="777"/>
    </row>
    <row r="45" spans="1:3" ht="12.75">
      <c r="A45" s="782" t="s">
        <v>786</v>
      </c>
      <c r="C45" s="777"/>
    </row>
    <row r="47" spans="1:7" ht="12.75">
      <c r="A47" s="740" t="s">
        <v>787</v>
      </c>
      <c r="C47" s="740" t="s">
        <v>788</v>
      </c>
      <c r="F47" s="740" t="s">
        <v>789</v>
      </c>
      <c r="G47" s="740" t="s">
        <v>790</v>
      </c>
    </row>
    <row r="48" spans="1:7" ht="12.75">
      <c r="A48" s="740" t="s">
        <v>791</v>
      </c>
      <c r="B48" s="783"/>
      <c r="C48" s="783">
        <v>40574</v>
      </c>
      <c r="F48" s="740" t="s">
        <v>791</v>
      </c>
      <c r="G48" s="783">
        <v>40574</v>
      </c>
    </row>
  </sheetData>
  <mergeCells count="7">
    <mergeCell ref="G2:H2"/>
    <mergeCell ref="A9:H9"/>
    <mergeCell ref="C11:G11"/>
    <mergeCell ref="A8:H8"/>
    <mergeCell ref="A7:H7"/>
    <mergeCell ref="A10:H10"/>
    <mergeCell ref="G4:H4"/>
  </mergeCells>
  <printOptions horizontalCentered="1"/>
  <pageMargins left="0.5905511811023623" right="0.5905511811023623" top="0.31496062992125984" bottom="0.6299212598425197" header="0.5118110236220472" footer="0.5118110236220472"/>
  <pageSetup horizontalDpi="300" verticalDpi="300" orientation="landscape" paperSize="9" scale="75" r:id="rId1"/>
  <headerFooter alignWithMargins="0">
    <oddFooter>&amp;C17</oddFooter>
  </headerFooter>
</worksheet>
</file>

<file path=xl/worksheets/sheet15.xml><?xml version="1.0" encoding="utf-8"?>
<worksheet xmlns="http://schemas.openxmlformats.org/spreadsheetml/2006/main" xmlns:r="http://schemas.openxmlformats.org/officeDocument/2006/relationships">
  <dimension ref="A1:H48"/>
  <sheetViews>
    <sheetView workbookViewId="0" topLeftCell="A1">
      <selection activeCell="D41" sqref="D41"/>
    </sheetView>
  </sheetViews>
  <sheetFormatPr defaultColWidth="9.140625" defaultRowHeight="12.75"/>
  <cols>
    <col min="1" max="1" width="17.421875" style="787" customWidth="1"/>
    <col min="2" max="2" width="6.7109375" style="787" customWidth="1"/>
    <col min="3" max="3" width="50.7109375" style="787" customWidth="1"/>
    <col min="4" max="6" width="15.57421875" style="787" customWidth="1"/>
    <col min="7" max="7" width="16.28125" style="787" customWidth="1"/>
    <col min="8" max="8" width="15.57421875" style="787" customWidth="1"/>
    <col min="9" max="16384" width="9.140625" style="787" customWidth="1"/>
  </cols>
  <sheetData>
    <row r="1" spans="1:8" ht="12.75">
      <c r="A1" s="784"/>
      <c r="B1" s="785"/>
      <c r="C1" s="786"/>
      <c r="H1" s="784"/>
    </row>
    <row r="2" spans="2:8" ht="12.75">
      <c r="B2" s="788"/>
      <c r="C2" s="789"/>
      <c r="G2" s="1356" t="s">
        <v>754</v>
      </c>
      <c r="H2" s="1356"/>
    </row>
    <row r="3" ht="12.75">
      <c r="A3" s="787" t="s">
        <v>805</v>
      </c>
    </row>
    <row r="4" spans="1:8" ht="14.25">
      <c r="A4" s="787" t="s">
        <v>793</v>
      </c>
      <c r="G4" s="1361" t="s">
        <v>756</v>
      </c>
      <c r="H4" s="1361"/>
    </row>
    <row r="5" ht="12.75">
      <c r="A5" s="787" t="s">
        <v>240</v>
      </c>
    </row>
    <row r="7" spans="1:8" ht="12.75">
      <c r="A7" s="1359" t="s">
        <v>758</v>
      </c>
      <c r="B7" s="1359"/>
      <c r="C7" s="1359"/>
      <c r="D7" s="1359"/>
      <c r="E7" s="1359"/>
      <c r="F7" s="1359"/>
      <c r="G7" s="1359"/>
      <c r="H7" s="1359"/>
    </row>
    <row r="8" spans="1:8" ht="12.75">
      <c r="A8" s="1360" t="s">
        <v>759</v>
      </c>
      <c r="B8" s="1360"/>
      <c r="C8" s="1360"/>
      <c r="D8" s="1360"/>
      <c r="E8" s="1360"/>
      <c r="F8" s="1360"/>
      <c r="G8" s="1360"/>
      <c r="H8" s="1360"/>
    </row>
    <row r="9" spans="1:8" ht="12.75">
      <c r="A9" s="1357" t="s">
        <v>794</v>
      </c>
      <c r="B9" s="1358"/>
      <c r="C9" s="1358"/>
      <c r="D9" s="1358"/>
      <c r="E9" s="1358"/>
      <c r="F9" s="1358"/>
      <c r="G9" s="1358"/>
      <c r="H9" s="1358"/>
    </row>
    <row r="10" spans="1:8" ht="12.75">
      <c r="A10" s="1360" t="s">
        <v>760</v>
      </c>
      <c r="B10" s="1360"/>
      <c r="C10" s="1360"/>
      <c r="D10" s="1360"/>
      <c r="E10" s="1360"/>
      <c r="F10" s="1360"/>
      <c r="G10" s="1360"/>
      <c r="H10" s="1360"/>
    </row>
    <row r="11" spans="1:8" ht="12.75">
      <c r="A11" s="790"/>
      <c r="B11" s="790"/>
      <c r="C11" s="1359"/>
      <c r="D11" s="1359"/>
      <c r="E11" s="1359"/>
      <c r="F11" s="1359"/>
      <c r="G11" s="1359"/>
      <c r="H11" s="790"/>
    </row>
    <row r="12" ht="13.5" thickBot="1">
      <c r="H12" s="791" t="s">
        <v>761</v>
      </c>
    </row>
    <row r="13" spans="1:8" s="797" customFormat="1" ht="90" thickBot="1">
      <c r="A13" s="792" t="s">
        <v>762</v>
      </c>
      <c r="B13" s="793" t="s">
        <v>763</v>
      </c>
      <c r="C13" s="794" t="s">
        <v>764</v>
      </c>
      <c r="D13" s="795" t="s">
        <v>481</v>
      </c>
      <c r="E13" s="795" t="s">
        <v>765</v>
      </c>
      <c r="F13" s="796" t="s">
        <v>795</v>
      </c>
      <c r="G13" s="795" t="s">
        <v>766</v>
      </c>
      <c r="H13" s="795" t="s">
        <v>767</v>
      </c>
    </row>
    <row r="14" spans="1:8" ht="13.5" thickBot="1">
      <c r="A14" s="798" t="s">
        <v>768</v>
      </c>
      <c r="B14" s="799" t="s">
        <v>769</v>
      </c>
      <c r="C14" s="800" t="s">
        <v>770</v>
      </c>
      <c r="D14" s="800">
        <v>1</v>
      </c>
      <c r="E14" s="800">
        <v>2</v>
      </c>
      <c r="F14" s="801">
        <v>3</v>
      </c>
      <c r="G14" s="800">
        <v>4</v>
      </c>
      <c r="H14" s="800" t="s">
        <v>771</v>
      </c>
    </row>
    <row r="15" spans="1:8" ht="13.5" thickBot="1">
      <c r="A15" s="802"/>
      <c r="B15" s="803"/>
      <c r="C15" s="804" t="s">
        <v>772</v>
      </c>
      <c r="D15" s="805">
        <f>SUM(D17:D21)</f>
        <v>649800</v>
      </c>
      <c r="E15" s="805">
        <f>SUM(E17:E21)</f>
        <v>649800</v>
      </c>
      <c r="F15" s="805">
        <f>SUM(F17:F21)</f>
        <v>31</v>
      </c>
      <c r="G15" s="805">
        <f>SUM(G17:G21)</f>
        <v>649769</v>
      </c>
      <c r="H15" s="805">
        <f>E15-F15-G15</f>
        <v>0</v>
      </c>
    </row>
    <row r="16" spans="1:8" ht="12.75">
      <c r="A16" s="806"/>
      <c r="B16" s="807"/>
      <c r="C16" s="808" t="s">
        <v>773</v>
      </c>
      <c r="D16" s="809"/>
      <c r="E16" s="809"/>
      <c r="F16" s="809"/>
      <c r="G16" s="809"/>
      <c r="H16" s="810"/>
    </row>
    <row r="17" spans="1:8" ht="12.75">
      <c r="A17" s="806"/>
      <c r="B17" s="811">
        <v>22005</v>
      </c>
      <c r="C17" s="812" t="s">
        <v>239</v>
      </c>
      <c r="D17" s="809">
        <v>649800</v>
      </c>
      <c r="E17" s="809">
        <v>649800</v>
      </c>
      <c r="F17" s="809">
        <v>31</v>
      </c>
      <c r="G17" s="809">
        <v>649769</v>
      </c>
      <c r="H17" s="809">
        <f>E17-F17-G17</f>
        <v>0</v>
      </c>
    </row>
    <row r="18" spans="1:8" ht="12.75">
      <c r="A18" s="806"/>
      <c r="B18" s="811"/>
      <c r="C18" s="813"/>
      <c r="D18" s="809"/>
      <c r="E18" s="809"/>
      <c r="F18" s="809"/>
      <c r="G18" s="809"/>
      <c r="H18" s="809"/>
    </row>
    <row r="19" spans="1:8" ht="12.75">
      <c r="A19" s="806"/>
      <c r="B19" s="811"/>
      <c r="C19" s="813"/>
      <c r="D19" s="809"/>
      <c r="E19" s="809"/>
      <c r="F19" s="809"/>
      <c r="G19" s="809"/>
      <c r="H19" s="809"/>
    </row>
    <row r="20" spans="1:8" ht="12.75">
      <c r="A20" s="806"/>
      <c r="B20" s="811"/>
      <c r="C20" s="813"/>
      <c r="D20" s="809"/>
      <c r="E20" s="809"/>
      <c r="F20" s="809"/>
      <c r="G20" s="809"/>
      <c r="H20" s="809"/>
    </row>
    <row r="21" spans="1:8" ht="13.5" thickBot="1">
      <c r="A21" s="806"/>
      <c r="B21" s="811"/>
      <c r="C21" s="814"/>
      <c r="D21" s="815"/>
      <c r="E21" s="815"/>
      <c r="F21" s="815"/>
      <c r="G21" s="815"/>
      <c r="H21" s="815"/>
    </row>
    <row r="22" spans="1:8" ht="13.5" thickBot="1">
      <c r="A22" s="802"/>
      <c r="B22" s="799"/>
      <c r="C22" s="816" t="s">
        <v>796</v>
      </c>
      <c r="D22" s="805">
        <f>SUM(D24:D26)</f>
        <v>0</v>
      </c>
      <c r="E22" s="805">
        <f>SUM(E24:E26)</f>
        <v>0</v>
      </c>
      <c r="F22" s="805">
        <f>SUM(F24:F26)</f>
        <v>0</v>
      </c>
      <c r="G22" s="805">
        <f>SUM(G24:G26)</f>
        <v>0</v>
      </c>
      <c r="H22" s="805">
        <f>E22-F22-G22</f>
        <v>0</v>
      </c>
    </row>
    <row r="23" spans="1:8" ht="12.75">
      <c r="A23" s="806"/>
      <c r="B23" s="807"/>
      <c r="C23" s="808" t="s">
        <v>773</v>
      </c>
      <c r="D23" s="809"/>
      <c r="E23" s="809"/>
      <c r="F23" s="809"/>
      <c r="G23" s="809"/>
      <c r="H23" s="809"/>
    </row>
    <row r="24" spans="1:8" ht="12.75">
      <c r="A24" s="806"/>
      <c r="B24" s="807"/>
      <c r="C24" s="813"/>
      <c r="D24" s="809"/>
      <c r="E24" s="809"/>
      <c r="F24" s="809"/>
      <c r="G24" s="809"/>
      <c r="H24" s="809"/>
    </row>
    <row r="25" spans="1:8" ht="12.75">
      <c r="A25" s="806"/>
      <c r="B25" s="807"/>
      <c r="C25" s="813"/>
      <c r="D25" s="809"/>
      <c r="E25" s="809"/>
      <c r="F25" s="809"/>
      <c r="G25" s="809"/>
      <c r="H25" s="809"/>
    </row>
    <row r="26" spans="1:8" ht="13.5" thickBot="1">
      <c r="A26" s="817"/>
      <c r="B26" s="818"/>
      <c r="C26" s="813"/>
      <c r="D26" s="809"/>
      <c r="E26" s="809"/>
      <c r="F26" s="809"/>
      <c r="G26" s="809"/>
      <c r="H26" s="815"/>
    </row>
    <row r="27" spans="1:8" ht="13.5" thickBot="1">
      <c r="A27" s="802"/>
      <c r="B27" s="799"/>
      <c r="C27" s="816" t="s">
        <v>797</v>
      </c>
      <c r="D27" s="805">
        <f>SUM(D29:D31)</f>
        <v>0</v>
      </c>
      <c r="E27" s="805">
        <f>SUM(E29:E31)</f>
        <v>0</v>
      </c>
      <c r="F27" s="805">
        <f>SUM(F29:F31)</f>
        <v>0</v>
      </c>
      <c r="G27" s="805">
        <f>SUM(G29:G31)</f>
        <v>0</v>
      </c>
      <c r="H27" s="805">
        <f>E27-F27-G27</f>
        <v>0</v>
      </c>
    </row>
    <row r="28" spans="1:8" ht="12.75">
      <c r="A28" s="806"/>
      <c r="B28" s="818"/>
      <c r="C28" s="812" t="s">
        <v>773</v>
      </c>
      <c r="D28" s="809"/>
      <c r="E28" s="809"/>
      <c r="F28" s="809"/>
      <c r="G28" s="809"/>
      <c r="H28" s="809"/>
    </row>
    <row r="29" spans="1:8" ht="12.75">
      <c r="A29" s="806"/>
      <c r="B29" s="818"/>
      <c r="C29" s="812"/>
      <c r="D29" s="809"/>
      <c r="E29" s="809"/>
      <c r="F29" s="809"/>
      <c r="G29" s="809"/>
      <c r="H29" s="809"/>
    </row>
    <row r="30" spans="1:8" ht="12.75">
      <c r="A30" s="817"/>
      <c r="B30" s="818"/>
      <c r="C30" s="813"/>
      <c r="D30" s="809"/>
      <c r="E30" s="809"/>
      <c r="F30" s="809"/>
      <c r="G30" s="809"/>
      <c r="H30" s="809"/>
    </row>
    <row r="31" spans="1:8" ht="13.5" thickBot="1">
      <c r="A31" s="817"/>
      <c r="B31" s="818"/>
      <c r="C31" s="814"/>
      <c r="D31" s="815"/>
      <c r="E31" s="815"/>
      <c r="F31" s="815"/>
      <c r="G31" s="815"/>
      <c r="H31" s="815"/>
    </row>
    <row r="32" spans="1:8" ht="26.25" thickBot="1">
      <c r="A32" s="819"/>
      <c r="B32" s="799"/>
      <c r="C32" s="820" t="s">
        <v>776</v>
      </c>
      <c r="D32" s="815">
        <f>D15+D22+D27</f>
        <v>649800</v>
      </c>
      <c r="E32" s="815">
        <f>E15+E22+E27</f>
        <v>649800</v>
      </c>
      <c r="F32" s="815">
        <f>F15+F22+F27</f>
        <v>31</v>
      </c>
      <c r="G32" s="815">
        <f>G15+G22+G27</f>
        <v>649769</v>
      </c>
      <c r="H32" s="815">
        <f>E32-F32-G32</f>
        <v>0</v>
      </c>
    </row>
    <row r="33" spans="1:8" ht="12.75">
      <c r="A33" s="821"/>
      <c r="B33" s="822"/>
      <c r="C33" s="823"/>
      <c r="D33" s="821"/>
      <c r="E33" s="821"/>
      <c r="F33" s="821"/>
      <c r="G33" s="821"/>
      <c r="H33" s="821"/>
    </row>
    <row r="34" ht="12.75">
      <c r="A34" s="824" t="s">
        <v>777</v>
      </c>
    </row>
    <row r="35" spans="1:8" ht="13.5">
      <c r="A35" s="825" t="s">
        <v>798</v>
      </c>
      <c r="C35" s="824"/>
      <c r="D35" s="789"/>
      <c r="E35" s="789"/>
      <c r="F35" s="789"/>
      <c r="G35" s="789"/>
      <c r="H35" s="789"/>
    </row>
    <row r="36" spans="1:8" ht="12.75">
      <c r="A36" s="824" t="s">
        <v>778</v>
      </c>
      <c r="C36" s="824"/>
      <c r="D36" s="789"/>
      <c r="E36" s="789"/>
      <c r="F36" s="789"/>
      <c r="G36" s="789"/>
      <c r="H36" s="789"/>
    </row>
    <row r="37" spans="1:8" ht="12.75">
      <c r="A37" s="826" t="s">
        <v>779</v>
      </c>
      <c r="C37" s="824"/>
      <c r="D37" s="789"/>
      <c r="E37" s="789"/>
      <c r="F37" s="789"/>
      <c r="G37" s="789"/>
      <c r="H37" s="789"/>
    </row>
    <row r="38" ht="12.75">
      <c r="A38" s="824" t="s">
        <v>780</v>
      </c>
    </row>
    <row r="39" spans="1:3" ht="12.75">
      <c r="A39" s="827" t="s">
        <v>781</v>
      </c>
      <c r="C39" s="824"/>
    </row>
    <row r="40" spans="1:7" ht="12.75">
      <c r="A40" s="826" t="s">
        <v>782</v>
      </c>
      <c r="B40" s="789"/>
      <c r="C40" s="826"/>
      <c r="D40" s="789"/>
      <c r="E40" s="789"/>
      <c r="F40" s="789"/>
      <c r="G40" s="789"/>
    </row>
    <row r="41" spans="1:3" ht="12.75">
      <c r="A41" s="826" t="s">
        <v>783</v>
      </c>
      <c r="B41" s="789"/>
      <c r="C41" s="826"/>
    </row>
    <row r="42" spans="1:3" ht="12.75">
      <c r="A42" s="824" t="s">
        <v>784</v>
      </c>
      <c r="C42" s="824"/>
    </row>
    <row r="43" spans="1:3" ht="12.75">
      <c r="A43" s="824" t="s">
        <v>785</v>
      </c>
      <c r="C43" s="824"/>
    </row>
    <row r="44" spans="1:3" ht="12.75">
      <c r="A44" s="828"/>
      <c r="C44" s="824"/>
    </row>
    <row r="45" spans="1:3" ht="12.75">
      <c r="A45" s="829" t="s">
        <v>786</v>
      </c>
      <c r="C45" s="824"/>
    </row>
    <row r="47" spans="1:7" ht="12.75">
      <c r="A47" s="787" t="s">
        <v>787</v>
      </c>
      <c r="C47" s="787" t="s">
        <v>788</v>
      </c>
      <c r="F47" s="787" t="s">
        <v>789</v>
      </c>
      <c r="G47" s="787" t="s">
        <v>790</v>
      </c>
    </row>
    <row r="48" spans="1:7" ht="12.75">
      <c r="A48" s="787" t="s">
        <v>791</v>
      </c>
      <c r="C48" s="830">
        <v>40574</v>
      </c>
      <c r="F48" s="787" t="s">
        <v>791</v>
      </c>
      <c r="G48" s="830">
        <v>40209</v>
      </c>
    </row>
  </sheetData>
  <mergeCells count="7">
    <mergeCell ref="G2:H2"/>
    <mergeCell ref="A9:H9"/>
    <mergeCell ref="C11:G11"/>
    <mergeCell ref="A8:H8"/>
    <mergeCell ref="A7:H7"/>
    <mergeCell ref="A10:H10"/>
    <mergeCell ref="G4:H4"/>
  </mergeCells>
  <printOptions horizontalCentered="1"/>
  <pageMargins left="0.5905511811023623" right="0.5905511811023623" top="0.31496062992125984" bottom="0.6299212598425197" header="0.5118110236220472" footer="0.5118110236220472"/>
  <pageSetup horizontalDpi="300" verticalDpi="300" orientation="landscape" paperSize="9" scale="75" r:id="rId1"/>
  <headerFooter alignWithMargins="0">
    <oddFooter>&amp;C18</oddFooter>
  </headerFooter>
</worksheet>
</file>

<file path=xl/worksheets/sheet16.xml><?xml version="1.0" encoding="utf-8"?>
<worksheet xmlns="http://schemas.openxmlformats.org/spreadsheetml/2006/main" xmlns:r="http://schemas.openxmlformats.org/officeDocument/2006/relationships">
  <dimension ref="A1:H48"/>
  <sheetViews>
    <sheetView workbookViewId="0" topLeftCell="A1">
      <selection activeCell="C47" sqref="C47"/>
    </sheetView>
  </sheetViews>
  <sheetFormatPr defaultColWidth="9.140625" defaultRowHeight="12.75"/>
  <cols>
    <col min="1" max="1" width="17.421875" style="834" customWidth="1"/>
    <col min="2" max="2" width="6.7109375" style="834" customWidth="1"/>
    <col min="3" max="3" width="50.7109375" style="834" customWidth="1"/>
    <col min="4" max="6" width="15.57421875" style="834" customWidth="1"/>
    <col min="7" max="7" width="16.28125" style="834" customWidth="1"/>
    <col min="8" max="8" width="15.57421875" style="834" customWidth="1"/>
    <col min="9" max="16384" width="9.140625" style="834" customWidth="1"/>
  </cols>
  <sheetData>
    <row r="1" spans="1:8" ht="12.75">
      <c r="A1" s="831"/>
      <c r="B1" s="832"/>
      <c r="C1" s="833"/>
      <c r="H1" s="831"/>
    </row>
    <row r="2" spans="2:8" ht="12.75">
      <c r="B2" s="835"/>
      <c r="C2" s="836"/>
      <c r="G2" s="1362" t="s">
        <v>754</v>
      </c>
      <c r="H2" s="1362"/>
    </row>
    <row r="3" ht="12.75">
      <c r="A3" s="834" t="s">
        <v>805</v>
      </c>
    </row>
    <row r="4" spans="1:8" ht="14.25">
      <c r="A4" s="834" t="s">
        <v>793</v>
      </c>
      <c r="G4" s="1367" t="s">
        <v>756</v>
      </c>
      <c r="H4" s="1367"/>
    </row>
    <row r="5" ht="12.75">
      <c r="A5" s="834" t="s">
        <v>246</v>
      </c>
    </row>
    <row r="7" spans="1:8" ht="12.75">
      <c r="A7" s="1365" t="s">
        <v>758</v>
      </c>
      <c r="B7" s="1365"/>
      <c r="C7" s="1365"/>
      <c r="D7" s="1365"/>
      <c r="E7" s="1365"/>
      <c r="F7" s="1365"/>
      <c r="G7" s="1365"/>
      <c r="H7" s="1365"/>
    </row>
    <row r="8" spans="1:8" ht="12.75">
      <c r="A8" s="1366" t="s">
        <v>759</v>
      </c>
      <c r="B8" s="1366"/>
      <c r="C8" s="1366"/>
      <c r="D8" s="1366"/>
      <c r="E8" s="1366"/>
      <c r="F8" s="1366"/>
      <c r="G8" s="1366"/>
      <c r="H8" s="1366"/>
    </row>
    <row r="9" spans="1:8" ht="12.75">
      <c r="A9" s="1363" t="s">
        <v>794</v>
      </c>
      <c r="B9" s="1364"/>
      <c r="C9" s="1364"/>
      <c r="D9" s="1364"/>
      <c r="E9" s="1364"/>
      <c r="F9" s="1364"/>
      <c r="G9" s="1364"/>
      <c r="H9" s="1364"/>
    </row>
    <row r="10" spans="1:8" ht="12.75">
      <c r="A10" s="1366" t="s">
        <v>760</v>
      </c>
      <c r="B10" s="1366"/>
      <c r="C10" s="1366"/>
      <c r="D10" s="1366"/>
      <c r="E10" s="1366"/>
      <c r="F10" s="1366"/>
      <c r="G10" s="1366"/>
      <c r="H10" s="1366"/>
    </row>
    <row r="11" spans="1:8" ht="12.75">
      <c r="A11" s="837"/>
      <c r="B11" s="837"/>
      <c r="C11" s="1365"/>
      <c r="D11" s="1365"/>
      <c r="E11" s="1365"/>
      <c r="F11" s="1365"/>
      <c r="G11" s="1365"/>
      <c r="H11" s="837"/>
    </row>
    <row r="12" ht="13.5" thickBot="1">
      <c r="H12" s="838" t="s">
        <v>761</v>
      </c>
    </row>
    <row r="13" spans="1:8" s="844" customFormat="1" ht="90" thickBot="1">
      <c r="A13" s="839" t="s">
        <v>762</v>
      </c>
      <c r="B13" s="840" t="s">
        <v>763</v>
      </c>
      <c r="C13" s="841" t="s">
        <v>764</v>
      </c>
      <c r="D13" s="842" t="s">
        <v>481</v>
      </c>
      <c r="E13" s="842" t="s">
        <v>765</v>
      </c>
      <c r="F13" s="843" t="s">
        <v>795</v>
      </c>
      <c r="G13" s="842" t="s">
        <v>766</v>
      </c>
      <c r="H13" s="842" t="s">
        <v>767</v>
      </c>
    </row>
    <row r="14" spans="1:8" ht="13.5" thickBot="1">
      <c r="A14" s="845" t="s">
        <v>768</v>
      </c>
      <c r="B14" s="846" t="s">
        <v>769</v>
      </c>
      <c r="C14" s="847" t="s">
        <v>770</v>
      </c>
      <c r="D14" s="847">
        <v>1</v>
      </c>
      <c r="E14" s="847">
        <v>2</v>
      </c>
      <c r="F14" s="848">
        <v>3</v>
      </c>
      <c r="G14" s="847">
        <v>4</v>
      </c>
      <c r="H14" s="847" t="s">
        <v>771</v>
      </c>
    </row>
    <row r="15" spans="1:8" ht="13.5" thickBot="1">
      <c r="A15" s="849"/>
      <c r="B15" s="850"/>
      <c r="C15" s="851" t="s">
        <v>772</v>
      </c>
      <c r="D15" s="852">
        <f>SUM(D17:D21)</f>
        <v>272692700</v>
      </c>
      <c r="E15" s="852">
        <f>SUM(E17:E21)</f>
        <v>270192700</v>
      </c>
      <c r="F15" s="852">
        <f>SUM(F17:F21)</f>
        <v>0</v>
      </c>
      <c r="G15" s="852">
        <f>SUM(G17:G21)</f>
        <v>267050010</v>
      </c>
      <c r="H15" s="852">
        <f>E15-F15-G15</f>
        <v>3142690</v>
      </c>
    </row>
    <row r="16" spans="1:8" ht="12.75">
      <c r="A16" s="853"/>
      <c r="B16" s="854"/>
      <c r="C16" s="855" t="s">
        <v>773</v>
      </c>
      <c r="D16" s="856"/>
      <c r="E16" s="856"/>
      <c r="F16" s="856"/>
      <c r="G16" s="856"/>
      <c r="H16" s="857"/>
    </row>
    <row r="17" spans="1:8" ht="12.75">
      <c r="A17" s="853"/>
      <c r="B17" s="858"/>
      <c r="C17" s="859" t="s">
        <v>241</v>
      </c>
      <c r="D17" s="856"/>
      <c r="E17" s="856"/>
      <c r="F17" s="856"/>
      <c r="G17" s="856"/>
      <c r="H17" s="856"/>
    </row>
    <row r="18" spans="1:8" ht="12.75">
      <c r="A18" s="853"/>
      <c r="B18" s="858">
        <v>13306</v>
      </c>
      <c r="C18" s="860" t="s">
        <v>242</v>
      </c>
      <c r="D18" s="856">
        <v>76000000</v>
      </c>
      <c r="E18" s="856">
        <v>73500000</v>
      </c>
      <c r="F18" s="856">
        <v>0</v>
      </c>
      <c r="G18" s="856">
        <v>71423310</v>
      </c>
      <c r="H18" s="856">
        <f>E18-F18-G18</f>
        <v>2076690</v>
      </c>
    </row>
    <row r="19" spans="1:8" ht="12.75">
      <c r="A19" s="853"/>
      <c r="B19" s="858">
        <v>13235</v>
      </c>
      <c r="C19" s="860" t="s">
        <v>243</v>
      </c>
      <c r="D19" s="856">
        <v>196657000</v>
      </c>
      <c r="E19" s="856">
        <v>196657000</v>
      </c>
      <c r="F19" s="856">
        <v>0</v>
      </c>
      <c r="G19" s="856">
        <v>195591000</v>
      </c>
      <c r="H19" s="856">
        <f>E19-F19-G19</f>
        <v>1066000</v>
      </c>
    </row>
    <row r="20" spans="1:8" ht="12.75">
      <c r="A20" s="853"/>
      <c r="B20" s="858">
        <v>13002</v>
      </c>
      <c r="C20" s="860" t="s">
        <v>244</v>
      </c>
      <c r="D20" s="856">
        <v>35700</v>
      </c>
      <c r="E20" s="856">
        <v>35700</v>
      </c>
      <c r="F20" s="856">
        <v>0</v>
      </c>
      <c r="G20" s="856">
        <v>35700</v>
      </c>
      <c r="H20" s="856">
        <f>E20-F20-G20</f>
        <v>0</v>
      </c>
    </row>
    <row r="21" spans="1:8" ht="13.5" thickBot="1">
      <c r="A21" s="853"/>
      <c r="B21" s="858"/>
      <c r="C21" s="861"/>
      <c r="D21" s="862"/>
      <c r="E21" s="862"/>
      <c r="F21" s="862"/>
      <c r="G21" s="862"/>
      <c r="H21" s="862"/>
    </row>
    <row r="22" spans="1:8" ht="13.5" thickBot="1">
      <c r="A22" s="849"/>
      <c r="B22" s="846"/>
      <c r="C22" s="863" t="s">
        <v>796</v>
      </c>
      <c r="D22" s="852">
        <f>SUM(D24:D26)</f>
        <v>0</v>
      </c>
      <c r="E22" s="852">
        <f>SUM(E24:E26)</f>
        <v>0</v>
      </c>
      <c r="F22" s="852">
        <f>SUM(F24:F26)</f>
        <v>0</v>
      </c>
      <c r="G22" s="852">
        <f>SUM(G24:G26)</f>
        <v>0</v>
      </c>
      <c r="H22" s="852">
        <f>E22-F22-G22</f>
        <v>0</v>
      </c>
    </row>
    <row r="23" spans="1:8" ht="12.75">
      <c r="A23" s="853"/>
      <c r="B23" s="854"/>
      <c r="C23" s="855" t="s">
        <v>773</v>
      </c>
      <c r="D23" s="856"/>
      <c r="E23" s="856"/>
      <c r="F23" s="856"/>
      <c r="G23" s="856"/>
      <c r="H23" s="856"/>
    </row>
    <row r="24" spans="1:8" ht="12.75">
      <c r="A24" s="853"/>
      <c r="B24" s="854"/>
      <c r="C24" s="860"/>
      <c r="D24" s="856"/>
      <c r="E24" s="856"/>
      <c r="F24" s="856"/>
      <c r="G24" s="856"/>
      <c r="H24" s="856"/>
    </row>
    <row r="25" spans="1:8" ht="12.75">
      <c r="A25" s="853"/>
      <c r="B25" s="854"/>
      <c r="C25" s="860"/>
      <c r="D25" s="856"/>
      <c r="E25" s="856"/>
      <c r="F25" s="856"/>
      <c r="G25" s="856"/>
      <c r="H25" s="856"/>
    </row>
    <row r="26" spans="1:8" ht="13.5" thickBot="1">
      <c r="A26" s="864"/>
      <c r="B26" s="865"/>
      <c r="C26" s="860"/>
      <c r="D26" s="856"/>
      <c r="E26" s="856"/>
      <c r="F26" s="856"/>
      <c r="G26" s="856"/>
      <c r="H26" s="862"/>
    </row>
    <row r="27" spans="1:8" ht="13.5" thickBot="1">
      <c r="A27" s="849"/>
      <c r="B27" s="846"/>
      <c r="C27" s="863" t="s">
        <v>797</v>
      </c>
      <c r="D27" s="852">
        <f>SUM(D29:D31)</f>
        <v>0</v>
      </c>
      <c r="E27" s="852">
        <f>SUM(E29:E31)</f>
        <v>0</v>
      </c>
      <c r="F27" s="852">
        <f>SUM(F29:F31)</f>
        <v>0</v>
      </c>
      <c r="G27" s="852">
        <f>SUM(G29:G31)</f>
        <v>0</v>
      </c>
      <c r="H27" s="852">
        <f>E27-F27-G27</f>
        <v>0</v>
      </c>
    </row>
    <row r="28" spans="1:8" ht="12.75">
      <c r="A28" s="853"/>
      <c r="B28" s="865"/>
      <c r="C28" s="859" t="s">
        <v>773</v>
      </c>
      <c r="D28" s="856"/>
      <c r="E28" s="856"/>
      <c r="F28" s="856"/>
      <c r="G28" s="856"/>
      <c r="H28" s="856"/>
    </row>
    <row r="29" spans="1:8" ht="12.75">
      <c r="A29" s="853"/>
      <c r="B29" s="865"/>
      <c r="C29" s="859"/>
      <c r="D29" s="856"/>
      <c r="E29" s="856"/>
      <c r="F29" s="856"/>
      <c r="G29" s="856"/>
      <c r="H29" s="856"/>
    </row>
    <row r="30" spans="1:8" ht="12.75">
      <c r="A30" s="864"/>
      <c r="B30" s="865"/>
      <c r="C30" s="860"/>
      <c r="D30" s="856"/>
      <c r="E30" s="856"/>
      <c r="F30" s="856"/>
      <c r="G30" s="856"/>
      <c r="H30" s="856"/>
    </row>
    <row r="31" spans="1:8" ht="13.5" thickBot="1">
      <c r="A31" s="864"/>
      <c r="B31" s="865"/>
      <c r="C31" s="861"/>
      <c r="D31" s="862"/>
      <c r="E31" s="862"/>
      <c r="F31" s="862"/>
      <c r="G31" s="862"/>
      <c r="H31" s="862"/>
    </row>
    <row r="32" spans="1:8" ht="26.25" thickBot="1">
      <c r="A32" s="866"/>
      <c r="B32" s="846"/>
      <c r="C32" s="867" t="s">
        <v>776</v>
      </c>
      <c r="D32" s="862">
        <f>D15+D22+D27</f>
        <v>272692700</v>
      </c>
      <c r="E32" s="862">
        <f>E15+E22+E27</f>
        <v>270192700</v>
      </c>
      <c r="F32" s="862">
        <f>F15+F22+F27</f>
        <v>0</v>
      </c>
      <c r="G32" s="862">
        <f>G15+G22+G27</f>
        <v>267050010</v>
      </c>
      <c r="H32" s="862">
        <f>E32-F32-G32</f>
        <v>3142690</v>
      </c>
    </row>
    <row r="33" spans="1:8" ht="12.75">
      <c r="A33" s="868"/>
      <c r="B33" s="869"/>
      <c r="C33" s="870"/>
      <c r="D33" s="868"/>
      <c r="E33" s="868"/>
      <c r="F33" s="868"/>
      <c r="G33" s="868"/>
      <c r="H33" s="868"/>
    </row>
    <row r="34" ht="12.75">
      <c r="A34" s="871" t="s">
        <v>777</v>
      </c>
    </row>
    <row r="35" spans="1:8" ht="13.5">
      <c r="A35" s="872" t="s">
        <v>798</v>
      </c>
      <c r="C35" s="871"/>
      <c r="D35" s="836"/>
      <c r="E35" s="836"/>
      <c r="F35" s="836"/>
      <c r="G35" s="836"/>
      <c r="H35" s="836"/>
    </row>
    <row r="36" spans="1:8" ht="12.75">
      <c r="A36" s="871" t="s">
        <v>778</v>
      </c>
      <c r="C36" s="871"/>
      <c r="D36" s="836"/>
      <c r="E36" s="836"/>
      <c r="F36" s="836"/>
      <c r="G36" s="836"/>
      <c r="H36" s="836"/>
    </row>
    <row r="37" spans="1:8" ht="12.75">
      <c r="A37" s="873" t="s">
        <v>779</v>
      </c>
      <c r="C37" s="871"/>
      <c r="D37" s="836"/>
      <c r="E37" s="836"/>
      <c r="F37" s="836"/>
      <c r="G37" s="836"/>
      <c r="H37" s="836"/>
    </row>
    <row r="38" ht="12.75">
      <c r="A38" s="871" t="s">
        <v>780</v>
      </c>
    </row>
    <row r="39" spans="1:3" ht="12.75">
      <c r="A39" s="874" t="s">
        <v>245</v>
      </c>
      <c r="C39" s="871"/>
    </row>
    <row r="40" spans="1:7" ht="12.75">
      <c r="A40" s="873" t="s">
        <v>782</v>
      </c>
      <c r="B40" s="836"/>
      <c r="C40" s="873"/>
      <c r="D40" s="836"/>
      <c r="E40" s="836"/>
      <c r="F40" s="836"/>
      <c r="G40" s="836"/>
    </row>
    <row r="41" spans="1:3" ht="12.75">
      <c r="A41" s="873" t="s">
        <v>783</v>
      </c>
      <c r="B41" s="836"/>
      <c r="C41" s="873"/>
    </row>
    <row r="42" spans="1:3" ht="12.75">
      <c r="A42" s="871" t="s">
        <v>784</v>
      </c>
      <c r="C42" s="871"/>
    </row>
    <row r="43" spans="1:3" ht="12.75">
      <c r="A43" s="871" t="s">
        <v>785</v>
      </c>
      <c r="C43" s="871"/>
    </row>
    <row r="44" spans="1:3" ht="12.75">
      <c r="A44" s="875"/>
      <c r="C44" s="871"/>
    </row>
    <row r="45" spans="1:3" ht="12.75">
      <c r="A45" s="876" t="s">
        <v>786</v>
      </c>
      <c r="C45" s="871"/>
    </row>
    <row r="47" spans="1:7" ht="12.75">
      <c r="A47" s="834" t="s">
        <v>787</v>
      </c>
      <c r="C47" s="834" t="s">
        <v>788</v>
      </c>
      <c r="F47" s="834" t="s">
        <v>789</v>
      </c>
      <c r="G47" s="834" t="s">
        <v>790</v>
      </c>
    </row>
    <row r="48" spans="1:7" ht="12.75">
      <c r="A48" s="834" t="s">
        <v>791</v>
      </c>
      <c r="C48" s="877">
        <v>40574</v>
      </c>
      <c r="F48" s="834" t="s">
        <v>791</v>
      </c>
      <c r="G48" s="877">
        <v>40209</v>
      </c>
    </row>
  </sheetData>
  <mergeCells count="7">
    <mergeCell ref="G2:H2"/>
    <mergeCell ref="A9:H9"/>
    <mergeCell ref="C11:G11"/>
    <mergeCell ref="A8:H8"/>
    <mergeCell ref="A7:H7"/>
    <mergeCell ref="A10:H10"/>
    <mergeCell ref="G4:H4"/>
  </mergeCells>
  <printOptions horizontalCentered="1"/>
  <pageMargins left="0.5905511811023623" right="0.5905511811023623" top="0.31496062992125984" bottom="0.6299212598425197" header="0.5118110236220472" footer="0.5118110236220472"/>
  <pageSetup horizontalDpi="300" verticalDpi="300" orientation="landscape" paperSize="9" scale="75" r:id="rId1"/>
  <headerFooter alignWithMargins="0">
    <oddFooter>&amp;C19</oddFooter>
  </headerFooter>
</worksheet>
</file>

<file path=xl/worksheets/sheet17.xml><?xml version="1.0" encoding="utf-8"?>
<worksheet xmlns="http://schemas.openxmlformats.org/spreadsheetml/2006/main" xmlns:r="http://schemas.openxmlformats.org/officeDocument/2006/relationships">
  <dimension ref="A1:H48"/>
  <sheetViews>
    <sheetView workbookViewId="0" topLeftCell="A1">
      <selection activeCell="C49" sqref="C49"/>
    </sheetView>
  </sheetViews>
  <sheetFormatPr defaultColWidth="9.140625" defaultRowHeight="12.75"/>
  <cols>
    <col min="1" max="1" width="17.421875" style="881" customWidth="1"/>
    <col min="2" max="2" width="6.7109375" style="881" customWidth="1"/>
    <col min="3" max="3" width="50.7109375" style="881" customWidth="1"/>
    <col min="4" max="6" width="15.57421875" style="881" customWidth="1"/>
    <col min="7" max="7" width="16.28125" style="881" customWidth="1"/>
    <col min="8" max="8" width="15.57421875" style="881" customWidth="1"/>
    <col min="9" max="16384" width="9.140625" style="881" customWidth="1"/>
  </cols>
  <sheetData>
    <row r="1" spans="1:8" ht="12.75">
      <c r="A1" s="878"/>
      <c r="B1" s="879"/>
      <c r="C1" s="880"/>
      <c r="H1" s="878"/>
    </row>
    <row r="2" spans="2:8" ht="12.75">
      <c r="B2" s="882"/>
      <c r="C2" s="883"/>
      <c r="G2" s="1368" t="s">
        <v>754</v>
      </c>
      <c r="H2" s="1368"/>
    </row>
    <row r="3" ht="12.75">
      <c r="A3" s="881" t="s">
        <v>805</v>
      </c>
    </row>
    <row r="4" spans="1:8" ht="14.25">
      <c r="A4" s="881" t="s">
        <v>793</v>
      </c>
      <c r="G4" s="1373" t="s">
        <v>756</v>
      </c>
      <c r="H4" s="1373"/>
    </row>
    <row r="5" ht="12.75">
      <c r="A5" s="881" t="s">
        <v>249</v>
      </c>
    </row>
    <row r="7" spans="1:8" ht="12.75">
      <c r="A7" s="1371" t="s">
        <v>758</v>
      </c>
      <c r="B7" s="1371"/>
      <c r="C7" s="1371"/>
      <c r="D7" s="1371"/>
      <c r="E7" s="1371"/>
      <c r="F7" s="1371"/>
      <c r="G7" s="1371"/>
      <c r="H7" s="1371"/>
    </row>
    <row r="8" spans="1:8" ht="12.75">
      <c r="A8" s="1372" t="s">
        <v>759</v>
      </c>
      <c r="B8" s="1372"/>
      <c r="C8" s="1372"/>
      <c r="D8" s="1372"/>
      <c r="E8" s="1372"/>
      <c r="F8" s="1372"/>
      <c r="G8" s="1372"/>
      <c r="H8" s="1372"/>
    </row>
    <row r="9" spans="1:8" ht="12.75">
      <c r="A9" s="1369" t="s">
        <v>794</v>
      </c>
      <c r="B9" s="1370"/>
      <c r="C9" s="1370"/>
      <c r="D9" s="1370"/>
      <c r="E9" s="1370"/>
      <c r="F9" s="1370"/>
      <c r="G9" s="1370"/>
      <c r="H9" s="1370"/>
    </row>
    <row r="10" spans="1:8" ht="12.75">
      <c r="A10" s="1372" t="s">
        <v>760</v>
      </c>
      <c r="B10" s="1372"/>
      <c r="C10" s="1372"/>
      <c r="D10" s="1372"/>
      <c r="E10" s="1372"/>
      <c r="F10" s="1372"/>
      <c r="G10" s="1372"/>
      <c r="H10" s="1372"/>
    </row>
    <row r="11" spans="1:8" ht="12.75">
      <c r="A11" s="884"/>
      <c r="B11" s="884"/>
      <c r="C11" s="1371"/>
      <c r="D11" s="1371"/>
      <c r="E11" s="1371"/>
      <c r="F11" s="1371"/>
      <c r="G11" s="1371"/>
      <c r="H11" s="884"/>
    </row>
    <row r="12" ht="13.5" thickBot="1">
      <c r="H12" s="885" t="s">
        <v>761</v>
      </c>
    </row>
    <row r="13" spans="1:8" s="891" customFormat="1" ht="90" thickBot="1">
      <c r="A13" s="886" t="s">
        <v>762</v>
      </c>
      <c r="B13" s="887" t="s">
        <v>763</v>
      </c>
      <c r="C13" s="888" t="s">
        <v>764</v>
      </c>
      <c r="D13" s="889" t="s">
        <v>481</v>
      </c>
      <c r="E13" s="889" t="s">
        <v>765</v>
      </c>
      <c r="F13" s="890" t="s">
        <v>795</v>
      </c>
      <c r="G13" s="889" t="s">
        <v>766</v>
      </c>
      <c r="H13" s="889" t="s">
        <v>767</v>
      </c>
    </row>
    <row r="14" spans="1:8" ht="13.5" thickBot="1">
      <c r="A14" s="892" t="s">
        <v>768</v>
      </c>
      <c r="B14" s="893" t="s">
        <v>769</v>
      </c>
      <c r="C14" s="894" t="s">
        <v>770</v>
      </c>
      <c r="D14" s="894">
        <v>1</v>
      </c>
      <c r="E14" s="894">
        <v>2</v>
      </c>
      <c r="F14" s="895">
        <v>3</v>
      </c>
      <c r="G14" s="894">
        <v>4</v>
      </c>
      <c r="H14" s="894" t="s">
        <v>771</v>
      </c>
    </row>
    <row r="15" spans="1:8" ht="13.5" thickBot="1">
      <c r="A15" s="896"/>
      <c r="B15" s="897"/>
      <c r="C15" s="898" t="s">
        <v>772</v>
      </c>
      <c r="D15" s="899">
        <f>SUM(D17:D21)</f>
        <v>400000</v>
      </c>
      <c r="E15" s="899">
        <f>SUM(E17:E21)</f>
        <v>400000</v>
      </c>
      <c r="F15" s="899">
        <f>SUM(F17:F21)</f>
        <v>0</v>
      </c>
      <c r="G15" s="899">
        <f>SUM(G17:G21)</f>
        <v>400000</v>
      </c>
      <c r="H15" s="899">
        <f>SUM(H17:H21)</f>
        <v>0</v>
      </c>
    </row>
    <row r="16" spans="1:8" ht="12.75">
      <c r="A16" s="900"/>
      <c r="B16" s="901"/>
      <c r="C16" s="902" t="s">
        <v>773</v>
      </c>
      <c r="D16" s="903"/>
      <c r="E16" s="903"/>
      <c r="F16" s="903"/>
      <c r="G16" s="903"/>
      <c r="H16" s="904"/>
    </row>
    <row r="17" spans="1:8" ht="12.75">
      <c r="A17" s="900"/>
      <c r="B17" s="905">
        <v>13305</v>
      </c>
      <c r="C17" s="906" t="s">
        <v>247</v>
      </c>
      <c r="D17" s="903">
        <v>150000</v>
      </c>
      <c r="E17" s="903">
        <v>150000</v>
      </c>
      <c r="F17" s="903">
        <v>0</v>
      </c>
      <c r="G17" s="903">
        <v>150000</v>
      </c>
      <c r="H17" s="903">
        <f>E17-F17-G17</f>
        <v>0</v>
      </c>
    </row>
    <row r="18" spans="1:8" ht="12.75">
      <c r="A18" s="900"/>
      <c r="B18" s="905">
        <v>13305</v>
      </c>
      <c r="C18" s="907" t="s">
        <v>248</v>
      </c>
      <c r="D18" s="903">
        <v>250000</v>
      </c>
      <c r="E18" s="903">
        <v>250000</v>
      </c>
      <c r="F18" s="903">
        <v>0</v>
      </c>
      <c r="G18" s="903">
        <v>250000</v>
      </c>
      <c r="H18" s="903">
        <f>E18-F18-G18</f>
        <v>0</v>
      </c>
    </row>
    <row r="19" spans="1:8" ht="12.75">
      <c r="A19" s="900"/>
      <c r="B19" s="905"/>
      <c r="C19" s="907"/>
      <c r="D19" s="903"/>
      <c r="E19" s="903"/>
      <c r="F19" s="903"/>
      <c r="G19" s="903"/>
      <c r="H19" s="903"/>
    </row>
    <row r="20" spans="1:8" ht="12.75">
      <c r="A20" s="900"/>
      <c r="B20" s="905"/>
      <c r="C20" s="907"/>
      <c r="D20" s="903"/>
      <c r="E20" s="903"/>
      <c r="F20" s="903"/>
      <c r="G20" s="903"/>
      <c r="H20" s="903"/>
    </row>
    <row r="21" spans="1:8" ht="13.5" thickBot="1">
      <c r="A21" s="900"/>
      <c r="B21" s="905"/>
      <c r="C21" s="908"/>
      <c r="D21" s="909"/>
      <c r="E21" s="909"/>
      <c r="F21" s="909"/>
      <c r="G21" s="909"/>
      <c r="H21" s="909"/>
    </row>
    <row r="22" spans="1:8" ht="13.5" thickBot="1">
      <c r="A22" s="896"/>
      <c r="B22" s="893"/>
      <c r="C22" s="910" t="s">
        <v>796</v>
      </c>
      <c r="D22" s="899">
        <f>SUM(D24:D26)</f>
        <v>0</v>
      </c>
      <c r="E22" s="899">
        <f>SUM(E24:E26)</f>
        <v>0</v>
      </c>
      <c r="F22" s="899">
        <f>SUM(F24:F26)</f>
        <v>0</v>
      </c>
      <c r="G22" s="899">
        <f>SUM(G24:G26)</f>
        <v>0</v>
      </c>
      <c r="H22" s="899">
        <f>SUM(H24:H26)</f>
        <v>0</v>
      </c>
    </row>
    <row r="23" spans="1:8" ht="12.75">
      <c r="A23" s="900"/>
      <c r="B23" s="901"/>
      <c r="C23" s="902" t="s">
        <v>773</v>
      </c>
      <c r="D23" s="903"/>
      <c r="E23" s="903"/>
      <c r="F23" s="903"/>
      <c r="G23" s="903"/>
      <c r="H23" s="903"/>
    </row>
    <row r="24" spans="1:8" ht="12.75">
      <c r="A24" s="900"/>
      <c r="B24" s="901"/>
      <c r="C24" s="907"/>
      <c r="D24" s="903"/>
      <c r="E24" s="903"/>
      <c r="F24" s="903"/>
      <c r="G24" s="903"/>
      <c r="H24" s="903"/>
    </row>
    <row r="25" spans="1:8" ht="12.75">
      <c r="A25" s="900"/>
      <c r="B25" s="901"/>
      <c r="C25" s="907"/>
      <c r="D25" s="903"/>
      <c r="E25" s="903"/>
      <c r="F25" s="903"/>
      <c r="G25" s="903"/>
      <c r="H25" s="903"/>
    </row>
    <row r="26" spans="1:8" ht="13.5" thickBot="1">
      <c r="A26" s="911"/>
      <c r="B26" s="912"/>
      <c r="C26" s="907"/>
      <c r="D26" s="903"/>
      <c r="E26" s="903"/>
      <c r="F26" s="903"/>
      <c r="G26" s="903"/>
      <c r="H26" s="909"/>
    </row>
    <row r="27" spans="1:8" ht="13.5" thickBot="1">
      <c r="A27" s="896"/>
      <c r="B27" s="893"/>
      <c r="C27" s="910" t="s">
        <v>797</v>
      </c>
      <c r="D27" s="899">
        <f>SUM(D29:D31)</f>
        <v>0</v>
      </c>
      <c r="E27" s="899">
        <f>SUM(E29:E31)</f>
        <v>0</v>
      </c>
      <c r="F27" s="899">
        <f>SUM(F29:F31)</f>
        <v>0</v>
      </c>
      <c r="G27" s="899">
        <f>SUM(G29:G31)</f>
        <v>0</v>
      </c>
      <c r="H27" s="899">
        <f>SUM(H29:H31)</f>
        <v>0</v>
      </c>
    </row>
    <row r="28" spans="1:8" ht="12.75">
      <c r="A28" s="900"/>
      <c r="B28" s="912"/>
      <c r="C28" s="906" t="s">
        <v>773</v>
      </c>
      <c r="D28" s="903"/>
      <c r="E28" s="903"/>
      <c r="F28" s="903"/>
      <c r="G28" s="903"/>
      <c r="H28" s="903"/>
    </row>
    <row r="29" spans="1:8" ht="12.75">
      <c r="A29" s="900"/>
      <c r="B29" s="912"/>
      <c r="C29" s="906"/>
      <c r="D29" s="903"/>
      <c r="E29" s="903"/>
      <c r="F29" s="903"/>
      <c r="G29" s="903"/>
      <c r="H29" s="903"/>
    </row>
    <row r="30" spans="1:8" ht="12.75">
      <c r="A30" s="911"/>
      <c r="B30" s="912"/>
      <c r="C30" s="907"/>
      <c r="D30" s="903"/>
      <c r="E30" s="903"/>
      <c r="F30" s="903"/>
      <c r="G30" s="903"/>
      <c r="H30" s="903"/>
    </row>
    <row r="31" spans="1:8" ht="13.5" thickBot="1">
      <c r="A31" s="911"/>
      <c r="B31" s="912"/>
      <c r="C31" s="908"/>
      <c r="D31" s="909"/>
      <c r="E31" s="909"/>
      <c r="F31" s="909"/>
      <c r="G31" s="909"/>
      <c r="H31" s="909"/>
    </row>
    <row r="32" spans="1:8" ht="26.25" thickBot="1">
      <c r="A32" s="913"/>
      <c r="B32" s="893"/>
      <c r="C32" s="914" t="s">
        <v>776</v>
      </c>
      <c r="D32" s="909">
        <f>D15+D22+D27</f>
        <v>400000</v>
      </c>
      <c r="E32" s="909">
        <f>E15+E22+E27</f>
        <v>400000</v>
      </c>
      <c r="F32" s="909">
        <f>F15+F22+F27</f>
        <v>0</v>
      </c>
      <c r="G32" s="909">
        <f>G15+G22+G27</f>
        <v>400000</v>
      </c>
      <c r="H32" s="909">
        <f>H15+H22+H27</f>
        <v>0</v>
      </c>
    </row>
    <row r="33" spans="1:8" ht="12.75">
      <c r="A33" s="915"/>
      <c r="B33" s="916"/>
      <c r="C33" s="917"/>
      <c r="D33" s="915"/>
      <c r="E33" s="915"/>
      <c r="F33" s="915"/>
      <c r="G33" s="915"/>
      <c r="H33" s="915"/>
    </row>
    <row r="34" ht="12.75">
      <c r="A34" s="918" t="s">
        <v>777</v>
      </c>
    </row>
    <row r="35" spans="1:8" ht="13.5">
      <c r="A35" s="919" t="s">
        <v>798</v>
      </c>
      <c r="C35" s="918"/>
      <c r="D35" s="883"/>
      <c r="E35" s="883"/>
      <c r="F35" s="883"/>
      <c r="G35" s="883"/>
      <c r="H35" s="883"/>
    </row>
    <row r="36" spans="1:8" ht="12.75">
      <c r="A36" s="918" t="s">
        <v>778</v>
      </c>
      <c r="C36" s="918"/>
      <c r="D36" s="883"/>
      <c r="E36" s="883"/>
      <c r="F36" s="883"/>
      <c r="G36" s="883"/>
      <c r="H36" s="883"/>
    </row>
    <row r="37" spans="1:8" ht="12.75">
      <c r="A37" s="920" t="s">
        <v>779</v>
      </c>
      <c r="C37" s="918"/>
      <c r="D37" s="883"/>
      <c r="E37" s="883"/>
      <c r="F37" s="883"/>
      <c r="G37" s="883"/>
      <c r="H37" s="883"/>
    </row>
    <row r="38" ht="12.75">
      <c r="A38" s="918" t="s">
        <v>780</v>
      </c>
    </row>
    <row r="39" spans="1:3" ht="12.75">
      <c r="A39" s="921" t="s">
        <v>781</v>
      </c>
      <c r="C39" s="918"/>
    </row>
    <row r="40" spans="1:7" ht="12.75">
      <c r="A40" s="920" t="s">
        <v>782</v>
      </c>
      <c r="B40" s="883"/>
      <c r="C40" s="920"/>
      <c r="D40" s="883"/>
      <c r="E40" s="883"/>
      <c r="F40" s="883"/>
      <c r="G40" s="883"/>
    </row>
    <row r="41" spans="1:3" ht="12.75">
      <c r="A41" s="920" t="s">
        <v>783</v>
      </c>
      <c r="B41" s="883"/>
      <c r="C41" s="920"/>
    </row>
    <row r="42" spans="1:3" ht="12.75">
      <c r="A42" s="918" t="s">
        <v>784</v>
      </c>
      <c r="C42" s="918"/>
    </row>
    <row r="43" spans="1:3" ht="12.75">
      <c r="A43" s="918" t="s">
        <v>785</v>
      </c>
      <c r="C43" s="918"/>
    </row>
    <row r="44" spans="1:3" ht="12.75">
      <c r="A44" s="922"/>
      <c r="C44" s="918"/>
    </row>
    <row r="45" spans="1:3" ht="12.75">
      <c r="A45" s="923" t="s">
        <v>786</v>
      </c>
      <c r="C45" s="918"/>
    </row>
    <row r="47" spans="1:7" ht="12.75">
      <c r="A47" s="881" t="s">
        <v>787</v>
      </c>
      <c r="C47" s="881" t="s">
        <v>788</v>
      </c>
      <c r="F47" s="881" t="s">
        <v>789</v>
      </c>
      <c r="G47" s="881" t="s">
        <v>790</v>
      </c>
    </row>
    <row r="48" spans="1:7" ht="12.75">
      <c r="A48" s="881" t="s">
        <v>791</v>
      </c>
      <c r="C48" s="924">
        <v>40574</v>
      </c>
      <c r="F48" s="881" t="s">
        <v>791</v>
      </c>
      <c r="G48" s="924">
        <v>40574</v>
      </c>
    </row>
  </sheetData>
  <mergeCells count="7">
    <mergeCell ref="G2:H2"/>
    <mergeCell ref="A9:H9"/>
    <mergeCell ref="C11:G11"/>
    <mergeCell ref="A8:H8"/>
    <mergeCell ref="A7:H7"/>
    <mergeCell ref="A10:H10"/>
    <mergeCell ref="G4:H4"/>
  </mergeCells>
  <printOptions horizontalCentered="1"/>
  <pageMargins left="0.5905511811023623" right="0.5905511811023623" top="0.31496062992125984" bottom="0.6299212598425197" header="0.5118110236220472" footer="0.5118110236220472"/>
  <pageSetup horizontalDpi="300" verticalDpi="300" orientation="landscape" paperSize="9" scale="75" r:id="rId1"/>
  <headerFooter alignWithMargins="0">
    <oddFooter>&amp;C20</oddFooter>
  </headerFooter>
</worksheet>
</file>

<file path=xl/worksheets/sheet18.xml><?xml version="1.0" encoding="utf-8"?>
<worksheet xmlns="http://schemas.openxmlformats.org/spreadsheetml/2006/main" xmlns:r="http://schemas.openxmlformats.org/officeDocument/2006/relationships">
  <dimension ref="A1:H48"/>
  <sheetViews>
    <sheetView workbookViewId="0" topLeftCell="A1">
      <selection activeCell="J36" sqref="J36"/>
    </sheetView>
  </sheetViews>
  <sheetFormatPr defaultColWidth="9.140625" defaultRowHeight="12.75"/>
  <cols>
    <col min="1" max="1" width="17.421875" style="928" customWidth="1"/>
    <col min="2" max="2" width="6.7109375" style="928" customWidth="1"/>
    <col min="3" max="3" width="50.7109375" style="928" customWidth="1"/>
    <col min="4" max="6" width="15.57421875" style="928" customWidth="1"/>
    <col min="7" max="7" width="16.28125" style="928" customWidth="1"/>
    <col min="8" max="8" width="15.57421875" style="928" customWidth="1"/>
    <col min="9" max="16384" width="9.140625" style="928" customWidth="1"/>
  </cols>
  <sheetData>
    <row r="1" spans="1:8" ht="12.75">
      <c r="A1" s="925"/>
      <c r="B1" s="926"/>
      <c r="C1" s="927"/>
      <c r="H1" s="925"/>
    </row>
    <row r="2" spans="2:8" ht="12.75">
      <c r="B2" s="929"/>
      <c r="C2" s="930"/>
      <c r="G2" s="1374" t="s">
        <v>754</v>
      </c>
      <c r="H2" s="1374"/>
    </row>
    <row r="3" ht="12.75">
      <c r="A3" s="928" t="s">
        <v>805</v>
      </c>
    </row>
    <row r="4" spans="1:8" ht="14.25">
      <c r="A4" s="928" t="s">
        <v>793</v>
      </c>
      <c r="G4" s="1379" t="s">
        <v>756</v>
      </c>
      <c r="H4" s="1379"/>
    </row>
    <row r="5" ht="12.75">
      <c r="A5" s="928" t="s">
        <v>251</v>
      </c>
    </row>
    <row r="7" spans="1:8" ht="12.75">
      <c r="A7" s="1377" t="s">
        <v>758</v>
      </c>
      <c r="B7" s="1377"/>
      <c r="C7" s="1377"/>
      <c r="D7" s="1377"/>
      <c r="E7" s="1377"/>
      <c r="F7" s="1377"/>
      <c r="G7" s="1377"/>
      <c r="H7" s="1377"/>
    </row>
    <row r="8" spans="1:8" ht="12.75">
      <c r="A8" s="1378" t="s">
        <v>759</v>
      </c>
      <c r="B8" s="1378"/>
      <c r="C8" s="1378"/>
      <c r="D8" s="1378"/>
      <c r="E8" s="1378"/>
      <c r="F8" s="1378"/>
      <c r="G8" s="1378"/>
      <c r="H8" s="1378"/>
    </row>
    <row r="9" spans="1:8" ht="12.75">
      <c r="A9" s="1375" t="s">
        <v>794</v>
      </c>
      <c r="B9" s="1376"/>
      <c r="C9" s="1376"/>
      <c r="D9" s="1376"/>
      <c r="E9" s="1376"/>
      <c r="F9" s="1376"/>
      <c r="G9" s="1376"/>
      <c r="H9" s="1376"/>
    </row>
    <row r="10" spans="1:8" ht="12.75">
      <c r="A10" s="1378" t="s">
        <v>760</v>
      </c>
      <c r="B10" s="1378"/>
      <c r="C10" s="1378"/>
      <c r="D10" s="1378"/>
      <c r="E10" s="1378"/>
      <c r="F10" s="1378"/>
      <c r="G10" s="1378"/>
      <c r="H10" s="1378"/>
    </row>
    <row r="11" spans="1:8" ht="12.75">
      <c r="A11" s="931"/>
      <c r="B11" s="931"/>
      <c r="C11" s="1377"/>
      <c r="D11" s="1377"/>
      <c r="E11" s="1377"/>
      <c r="F11" s="1377"/>
      <c r="G11" s="1377"/>
      <c r="H11" s="931"/>
    </row>
    <row r="12" ht="13.5" thickBot="1">
      <c r="H12" s="932" t="s">
        <v>761</v>
      </c>
    </row>
    <row r="13" spans="1:8" s="938" customFormat="1" ht="90" thickBot="1">
      <c r="A13" s="933" t="s">
        <v>762</v>
      </c>
      <c r="B13" s="934" t="s">
        <v>763</v>
      </c>
      <c r="C13" s="935" t="s">
        <v>764</v>
      </c>
      <c r="D13" s="936" t="s">
        <v>481</v>
      </c>
      <c r="E13" s="936" t="s">
        <v>765</v>
      </c>
      <c r="F13" s="937" t="s">
        <v>795</v>
      </c>
      <c r="G13" s="936" t="s">
        <v>766</v>
      </c>
      <c r="H13" s="936" t="s">
        <v>767</v>
      </c>
    </row>
    <row r="14" spans="1:8" ht="13.5" thickBot="1">
      <c r="A14" s="939" t="s">
        <v>768</v>
      </c>
      <c r="B14" s="940" t="s">
        <v>769</v>
      </c>
      <c r="C14" s="941" t="s">
        <v>770</v>
      </c>
      <c r="D14" s="941">
        <v>1</v>
      </c>
      <c r="E14" s="941">
        <v>2</v>
      </c>
      <c r="F14" s="942">
        <v>3</v>
      </c>
      <c r="G14" s="941">
        <v>4</v>
      </c>
      <c r="H14" s="941" t="s">
        <v>771</v>
      </c>
    </row>
    <row r="15" spans="1:8" ht="13.5" thickBot="1">
      <c r="A15" s="943"/>
      <c r="B15" s="944"/>
      <c r="C15" s="945" t="s">
        <v>772</v>
      </c>
      <c r="D15" s="946">
        <f>SUM(D17:D21)</f>
        <v>169000</v>
      </c>
      <c r="E15" s="946">
        <f>SUM(E17:E21)</f>
        <v>169000</v>
      </c>
      <c r="F15" s="946">
        <f>SUM(F17:F21)</f>
        <v>0</v>
      </c>
      <c r="G15" s="946">
        <f>SUM(G17:G21)</f>
        <v>169000</v>
      </c>
      <c r="H15" s="946">
        <f>E15-F15-G15</f>
        <v>0</v>
      </c>
    </row>
    <row r="16" spans="1:8" ht="12.75">
      <c r="A16" s="947"/>
      <c r="B16" s="948"/>
      <c r="C16" s="949" t="s">
        <v>773</v>
      </c>
      <c r="D16" s="950"/>
      <c r="E16" s="950"/>
      <c r="F16" s="950"/>
      <c r="G16" s="950"/>
      <c r="H16" s="951"/>
    </row>
    <row r="17" spans="1:8" ht="12.75">
      <c r="A17" s="947"/>
      <c r="B17" s="952">
        <v>14005</v>
      </c>
      <c r="C17" s="953" t="s">
        <v>250</v>
      </c>
      <c r="D17" s="950">
        <v>169000</v>
      </c>
      <c r="E17" s="950">
        <v>169000</v>
      </c>
      <c r="F17" s="950">
        <v>0</v>
      </c>
      <c r="G17" s="950">
        <v>169000</v>
      </c>
      <c r="H17" s="950">
        <f>E17-F17-G17</f>
        <v>0</v>
      </c>
    </row>
    <row r="18" spans="1:8" ht="12.75">
      <c r="A18" s="947"/>
      <c r="B18" s="952"/>
      <c r="C18" s="954"/>
      <c r="D18" s="950"/>
      <c r="E18" s="950"/>
      <c r="F18" s="950"/>
      <c r="G18" s="950"/>
      <c r="H18" s="950"/>
    </row>
    <row r="19" spans="1:8" ht="12.75">
      <c r="A19" s="947"/>
      <c r="B19" s="952"/>
      <c r="C19" s="954"/>
      <c r="D19" s="950"/>
      <c r="E19" s="950"/>
      <c r="F19" s="950"/>
      <c r="G19" s="950"/>
      <c r="H19" s="950"/>
    </row>
    <row r="20" spans="1:8" ht="12.75">
      <c r="A20" s="947"/>
      <c r="B20" s="952"/>
      <c r="C20" s="954"/>
      <c r="D20" s="950"/>
      <c r="E20" s="950"/>
      <c r="F20" s="950"/>
      <c r="G20" s="950"/>
      <c r="H20" s="950"/>
    </row>
    <row r="21" spans="1:8" ht="13.5" thickBot="1">
      <c r="A21" s="947"/>
      <c r="B21" s="952"/>
      <c r="C21" s="955"/>
      <c r="D21" s="956"/>
      <c r="E21" s="956"/>
      <c r="F21" s="956"/>
      <c r="G21" s="956"/>
      <c r="H21" s="956"/>
    </row>
    <row r="22" spans="1:8" ht="13.5" thickBot="1">
      <c r="A22" s="943"/>
      <c r="B22" s="940"/>
      <c r="C22" s="957" t="s">
        <v>796</v>
      </c>
      <c r="D22" s="946">
        <f>SUM(D24:D26)</f>
        <v>0</v>
      </c>
      <c r="E22" s="946">
        <f>SUM(E24:E26)</f>
        <v>0</v>
      </c>
      <c r="F22" s="946">
        <f>SUM(F24:F26)</f>
        <v>0</v>
      </c>
      <c r="G22" s="946">
        <f>SUM(G24:G26)</f>
        <v>0</v>
      </c>
      <c r="H22" s="946">
        <f>E22-F22-G22</f>
        <v>0</v>
      </c>
    </row>
    <row r="23" spans="1:8" ht="12.75">
      <c r="A23" s="947"/>
      <c r="B23" s="948"/>
      <c r="C23" s="949" t="s">
        <v>773</v>
      </c>
      <c r="D23" s="950"/>
      <c r="E23" s="950"/>
      <c r="F23" s="950"/>
      <c r="G23" s="950"/>
      <c r="H23" s="950"/>
    </row>
    <row r="24" spans="1:8" ht="12.75">
      <c r="A24" s="947"/>
      <c r="B24" s="948"/>
      <c r="C24" s="954"/>
      <c r="D24" s="950"/>
      <c r="E24" s="950"/>
      <c r="F24" s="950"/>
      <c r="G24" s="950"/>
      <c r="H24" s="950"/>
    </row>
    <row r="25" spans="1:8" ht="12.75">
      <c r="A25" s="947"/>
      <c r="B25" s="948"/>
      <c r="C25" s="954"/>
      <c r="D25" s="950"/>
      <c r="E25" s="950"/>
      <c r="F25" s="950"/>
      <c r="G25" s="950"/>
      <c r="H25" s="950"/>
    </row>
    <row r="26" spans="1:8" ht="13.5" thickBot="1">
      <c r="A26" s="958"/>
      <c r="B26" s="959"/>
      <c r="C26" s="954"/>
      <c r="D26" s="950"/>
      <c r="E26" s="950"/>
      <c r="F26" s="950"/>
      <c r="G26" s="950"/>
      <c r="H26" s="956"/>
    </row>
    <row r="27" spans="1:8" ht="13.5" thickBot="1">
      <c r="A27" s="943"/>
      <c r="B27" s="940"/>
      <c r="C27" s="957" t="s">
        <v>797</v>
      </c>
      <c r="D27" s="946">
        <f>SUM(D29:D31)</f>
        <v>0</v>
      </c>
      <c r="E27" s="946">
        <f>SUM(E29:E31)</f>
        <v>0</v>
      </c>
      <c r="F27" s="946">
        <f>SUM(F29:F31)</f>
        <v>0</v>
      </c>
      <c r="G27" s="946">
        <f>SUM(G29:G31)</f>
        <v>0</v>
      </c>
      <c r="H27" s="946">
        <f>E27-F27-G27</f>
        <v>0</v>
      </c>
    </row>
    <row r="28" spans="1:8" ht="12.75">
      <c r="A28" s="947"/>
      <c r="B28" s="959"/>
      <c r="C28" s="953" t="s">
        <v>773</v>
      </c>
      <c r="D28" s="950"/>
      <c r="E28" s="950"/>
      <c r="F28" s="950"/>
      <c r="G28" s="950"/>
      <c r="H28" s="950"/>
    </row>
    <row r="29" spans="1:8" ht="12.75">
      <c r="A29" s="947"/>
      <c r="B29" s="959"/>
      <c r="C29" s="953"/>
      <c r="D29" s="950"/>
      <c r="E29" s="950"/>
      <c r="F29" s="950"/>
      <c r="G29" s="950"/>
      <c r="H29" s="950"/>
    </row>
    <row r="30" spans="1:8" ht="12.75">
      <c r="A30" s="958"/>
      <c r="B30" s="959"/>
      <c r="C30" s="954"/>
      <c r="D30" s="950"/>
      <c r="E30" s="950"/>
      <c r="F30" s="950"/>
      <c r="G30" s="950"/>
      <c r="H30" s="950"/>
    </row>
    <row r="31" spans="1:8" ht="13.5" thickBot="1">
      <c r="A31" s="958"/>
      <c r="B31" s="959"/>
      <c r="C31" s="955"/>
      <c r="D31" s="956"/>
      <c r="E31" s="956"/>
      <c r="F31" s="956"/>
      <c r="G31" s="956"/>
      <c r="H31" s="956"/>
    </row>
    <row r="32" spans="1:8" ht="26.25" thickBot="1">
      <c r="A32" s="960"/>
      <c r="B32" s="940"/>
      <c r="C32" s="961" t="s">
        <v>776</v>
      </c>
      <c r="D32" s="956">
        <f>D15+D22+D27</f>
        <v>169000</v>
      </c>
      <c r="E32" s="956">
        <f>E15+E22+E27</f>
        <v>169000</v>
      </c>
      <c r="F32" s="956">
        <f>F15+F22+F27</f>
        <v>0</v>
      </c>
      <c r="G32" s="956">
        <f>G15+G22+G27</f>
        <v>169000</v>
      </c>
      <c r="H32" s="956">
        <f>E32-F32-G32</f>
        <v>0</v>
      </c>
    </row>
    <row r="33" spans="1:8" ht="12.75">
      <c r="A33" s="962"/>
      <c r="B33" s="963"/>
      <c r="C33" s="964"/>
      <c r="D33" s="962"/>
      <c r="E33" s="962"/>
      <c r="F33" s="962"/>
      <c r="G33" s="962"/>
      <c r="H33" s="962"/>
    </row>
    <row r="34" ht="12.75">
      <c r="A34" s="965" t="s">
        <v>777</v>
      </c>
    </row>
    <row r="35" spans="1:8" ht="13.5">
      <c r="A35" s="966" t="s">
        <v>798</v>
      </c>
      <c r="C35" s="965"/>
      <c r="D35" s="930"/>
      <c r="E35" s="930"/>
      <c r="F35" s="930"/>
      <c r="G35" s="930"/>
      <c r="H35" s="930"/>
    </row>
    <row r="36" spans="1:8" ht="12.75">
      <c r="A36" s="965" t="s">
        <v>778</v>
      </c>
      <c r="C36" s="965"/>
      <c r="D36" s="930"/>
      <c r="E36" s="930"/>
      <c r="F36" s="930"/>
      <c r="G36" s="930"/>
      <c r="H36" s="930"/>
    </row>
    <row r="37" spans="1:8" ht="12.75">
      <c r="A37" s="967" t="s">
        <v>779</v>
      </c>
      <c r="C37" s="965"/>
      <c r="D37" s="930"/>
      <c r="E37" s="930"/>
      <c r="F37" s="930"/>
      <c r="G37" s="930"/>
      <c r="H37" s="930"/>
    </row>
    <row r="38" ht="12.75">
      <c r="A38" s="965" t="s">
        <v>780</v>
      </c>
    </row>
    <row r="39" spans="1:3" ht="12.75">
      <c r="A39" s="968" t="s">
        <v>781</v>
      </c>
      <c r="C39" s="965"/>
    </row>
    <row r="40" spans="1:7" ht="12.75">
      <c r="A40" s="967" t="s">
        <v>782</v>
      </c>
      <c r="B40" s="930"/>
      <c r="C40" s="967"/>
      <c r="D40" s="930"/>
      <c r="E40" s="930"/>
      <c r="F40" s="930"/>
      <c r="G40" s="930"/>
    </row>
    <row r="41" spans="1:3" ht="12.75">
      <c r="A41" s="967" t="s">
        <v>783</v>
      </c>
      <c r="B41" s="930"/>
      <c r="C41" s="967"/>
    </row>
    <row r="42" spans="1:3" ht="12.75">
      <c r="A42" s="965" t="s">
        <v>784</v>
      </c>
      <c r="C42" s="965"/>
    </row>
    <row r="43" spans="1:3" ht="12.75">
      <c r="A43" s="965" t="s">
        <v>785</v>
      </c>
      <c r="C43" s="965"/>
    </row>
    <row r="44" spans="1:3" ht="12.75">
      <c r="A44" s="969"/>
      <c r="C44" s="965"/>
    </row>
    <row r="45" spans="1:3" ht="12.75">
      <c r="A45" s="970" t="s">
        <v>786</v>
      </c>
      <c r="C45" s="965"/>
    </row>
    <row r="47" spans="1:7" ht="12.75">
      <c r="A47" s="928" t="s">
        <v>787</v>
      </c>
      <c r="C47" s="928" t="s">
        <v>788</v>
      </c>
      <c r="F47" s="928" t="s">
        <v>789</v>
      </c>
      <c r="G47" s="928" t="s">
        <v>790</v>
      </c>
    </row>
    <row r="48" spans="1:7" ht="12.75">
      <c r="A48" s="928" t="s">
        <v>791</v>
      </c>
      <c r="C48" s="971">
        <v>40574</v>
      </c>
      <c r="F48" s="928" t="s">
        <v>791</v>
      </c>
      <c r="G48" s="971">
        <v>40574</v>
      </c>
    </row>
  </sheetData>
  <mergeCells count="7">
    <mergeCell ref="G2:H2"/>
    <mergeCell ref="A9:H9"/>
    <mergeCell ref="C11:G11"/>
    <mergeCell ref="A8:H8"/>
    <mergeCell ref="A7:H7"/>
    <mergeCell ref="A10:H10"/>
    <mergeCell ref="G4:H4"/>
  </mergeCells>
  <printOptions horizontalCentered="1"/>
  <pageMargins left="0.5905511811023623" right="0.5905511811023623" top="0.31496062992125984" bottom="0.6299212598425197" header="0.5118110236220472" footer="0.5118110236220472"/>
  <pageSetup horizontalDpi="300" verticalDpi="300" orientation="landscape" paperSize="9" scale="75"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dimension ref="A1:H48"/>
  <sheetViews>
    <sheetView workbookViewId="0" topLeftCell="A1">
      <selection activeCell="D50" sqref="D50"/>
    </sheetView>
  </sheetViews>
  <sheetFormatPr defaultColWidth="9.140625" defaultRowHeight="12.75"/>
  <cols>
    <col min="1" max="1" width="17.421875" style="975" customWidth="1"/>
    <col min="2" max="2" width="6.7109375" style="975" customWidth="1"/>
    <col min="3" max="3" width="50.7109375" style="975" customWidth="1"/>
    <col min="4" max="6" width="15.57421875" style="975" customWidth="1"/>
    <col min="7" max="7" width="16.28125" style="975" customWidth="1"/>
    <col min="8" max="8" width="15.57421875" style="975" customWidth="1"/>
    <col min="9" max="16384" width="9.140625" style="975" customWidth="1"/>
  </cols>
  <sheetData>
    <row r="1" spans="1:8" ht="12.75">
      <c r="A1" s="972"/>
      <c r="B1" s="973"/>
      <c r="C1" s="974"/>
      <c r="H1" s="972"/>
    </row>
    <row r="2" spans="2:8" ht="12.75">
      <c r="B2" s="976"/>
      <c r="C2" s="977"/>
      <c r="G2" s="1380" t="s">
        <v>754</v>
      </c>
      <c r="H2" s="1380"/>
    </row>
    <row r="3" ht="12.75">
      <c r="A3" s="975" t="s">
        <v>805</v>
      </c>
    </row>
    <row r="4" spans="1:8" ht="14.25">
      <c r="A4" s="975" t="s">
        <v>793</v>
      </c>
      <c r="G4" s="1385" t="s">
        <v>756</v>
      </c>
      <c r="H4" s="1385"/>
    </row>
    <row r="5" ht="12.75">
      <c r="A5" s="975" t="s">
        <v>255</v>
      </c>
    </row>
    <row r="7" spans="1:8" ht="12.75">
      <c r="A7" s="1383" t="s">
        <v>758</v>
      </c>
      <c r="B7" s="1383"/>
      <c r="C7" s="1383"/>
      <c r="D7" s="1383"/>
      <c r="E7" s="1383"/>
      <c r="F7" s="1383"/>
      <c r="G7" s="1383"/>
      <c r="H7" s="1383"/>
    </row>
    <row r="8" spans="1:8" ht="12.75">
      <c r="A8" s="1384" t="s">
        <v>759</v>
      </c>
      <c r="B8" s="1384"/>
      <c r="C8" s="1384"/>
      <c r="D8" s="1384"/>
      <c r="E8" s="1384"/>
      <c r="F8" s="1384"/>
      <c r="G8" s="1384"/>
      <c r="H8" s="1384"/>
    </row>
    <row r="9" spans="1:8" ht="12.75">
      <c r="A9" s="1381" t="s">
        <v>794</v>
      </c>
      <c r="B9" s="1382"/>
      <c r="C9" s="1382"/>
      <c r="D9" s="1382"/>
      <c r="E9" s="1382"/>
      <c r="F9" s="1382"/>
      <c r="G9" s="1382"/>
      <c r="H9" s="1382"/>
    </row>
    <row r="10" spans="1:8" ht="12.75">
      <c r="A10" s="1384" t="s">
        <v>760</v>
      </c>
      <c r="B10" s="1384"/>
      <c r="C10" s="1384"/>
      <c r="D10" s="1384"/>
      <c r="E10" s="1384"/>
      <c r="F10" s="1384"/>
      <c r="G10" s="1384"/>
      <c r="H10" s="1384"/>
    </row>
    <row r="11" spans="1:8" ht="12.75">
      <c r="A11" s="978"/>
      <c r="B11" s="978"/>
      <c r="C11" s="1383"/>
      <c r="D11" s="1383"/>
      <c r="E11" s="1383"/>
      <c r="F11" s="1383"/>
      <c r="G11" s="1383"/>
      <c r="H11" s="978"/>
    </row>
    <row r="12" ht="13.5" thickBot="1">
      <c r="H12" s="979" t="s">
        <v>761</v>
      </c>
    </row>
    <row r="13" spans="1:8" s="985" customFormat="1" ht="90" thickBot="1">
      <c r="A13" s="980" t="s">
        <v>762</v>
      </c>
      <c r="B13" s="981" t="s">
        <v>763</v>
      </c>
      <c r="C13" s="982" t="s">
        <v>764</v>
      </c>
      <c r="D13" s="983" t="s">
        <v>481</v>
      </c>
      <c r="E13" s="983" t="s">
        <v>765</v>
      </c>
      <c r="F13" s="984" t="s">
        <v>795</v>
      </c>
      <c r="G13" s="983" t="s">
        <v>766</v>
      </c>
      <c r="H13" s="983" t="s">
        <v>767</v>
      </c>
    </row>
    <row r="14" spans="1:8" ht="13.5" thickBot="1">
      <c r="A14" s="986" t="s">
        <v>768</v>
      </c>
      <c r="B14" s="987" t="s">
        <v>769</v>
      </c>
      <c r="C14" s="988" t="s">
        <v>770</v>
      </c>
      <c r="D14" s="988">
        <v>1</v>
      </c>
      <c r="E14" s="988">
        <v>2</v>
      </c>
      <c r="F14" s="989">
        <v>3</v>
      </c>
      <c r="G14" s="988">
        <v>4</v>
      </c>
      <c r="H14" s="988" t="s">
        <v>771</v>
      </c>
    </row>
    <row r="15" spans="1:8" ht="13.5" thickBot="1">
      <c r="A15" s="990"/>
      <c r="B15" s="991"/>
      <c r="C15" s="992" t="s">
        <v>772</v>
      </c>
      <c r="D15" s="993">
        <f>SUM(D17:D21)</f>
        <v>656386</v>
      </c>
      <c r="E15" s="993">
        <f>SUM(E17:E21)</f>
        <v>656386</v>
      </c>
      <c r="F15" s="993">
        <f>SUM(F17:F21)</f>
        <v>0</v>
      </c>
      <c r="G15" s="993">
        <f>SUM(G17:G21)</f>
        <v>656386</v>
      </c>
      <c r="H15" s="993">
        <f>E15-F15-G15</f>
        <v>0</v>
      </c>
    </row>
    <row r="16" spans="1:8" ht="12.75">
      <c r="A16" s="994"/>
      <c r="B16" s="995"/>
      <c r="C16" s="996" t="s">
        <v>773</v>
      </c>
      <c r="D16" s="997"/>
      <c r="E16" s="997"/>
      <c r="F16" s="997"/>
      <c r="G16" s="997"/>
      <c r="H16" s="998"/>
    </row>
    <row r="17" spans="1:8" ht="12.75">
      <c r="A17" s="994"/>
      <c r="B17" s="999">
        <v>29004</v>
      </c>
      <c r="C17" s="1000" t="s">
        <v>252</v>
      </c>
      <c r="D17" s="997">
        <v>45775</v>
      </c>
      <c r="E17" s="997">
        <v>45775</v>
      </c>
      <c r="F17" s="997">
        <v>0</v>
      </c>
      <c r="G17" s="997">
        <v>45775</v>
      </c>
      <c r="H17" s="997">
        <f>E17-F17-G17</f>
        <v>0</v>
      </c>
    </row>
    <row r="18" spans="1:8" ht="12.75">
      <c r="A18" s="994"/>
      <c r="B18" s="999">
        <v>29008</v>
      </c>
      <c r="C18" s="1001" t="s">
        <v>253</v>
      </c>
      <c r="D18" s="997">
        <v>610611</v>
      </c>
      <c r="E18" s="997">
        <v>610611</v>
      </c>
      <c r="F18" s="997">
        <v>0</v>
      </c>
      <c r="G18" s="997">
        <v>610611</v>
      </c>
      <c r="H18" s="997">
        <f>E18-F18-G18</f>
        <v>0</v>
      </c>
    </row>
    <row r="19" spans="1:8" ht="12.75">
      <c r="A19" s="994"/>
      <c r="B19" s="999"/>
      <c r="C19" s="1001"/>
      <c r="D19" s="997"/>
      <c r="E19" s="997"/>
      <c r="F19" s="997"/>
      <c r="G19" s="997"/>
      <c r="H19" s="997"/>
    </row>
    <row r="20" spans="1:8" ht="12.75">
      <c r="A20" s="994"/>
      <c r="B20" s="999"/>
      <c r="C20" s="1001"/>
      <c r="D20" s="997"/>
      <c r="E20" s="997"/>
      <c r="F20" s="997"/>
      <c r="G20" s="997"/>
      <c r="H20" s="997"/>
    </row>
    <row r="21" spans="1:8" ht="13.5" thickBot="1">
      <c r="A21" s="994"/>
      <c r="B21" s="999"/>
      <c r="C21" s="1002"/>
      <c r="D21" s="1003"/>
      <c r="E21" s="1003"/>
      <c r="F21" s="1003"/>
      <c r="G21" s="1003"/>
      <c r="H21" s="1003"/>
    </row>
    <row r="22" spans="1:8" ht="13.5" thickBot="1">
      <c r="A22" s="990"/>
      <c r="B22" s="987"/>
      <c r="C22" s="1004" t="s">
        <v>796</v>
      </c>
      <c r="D22" s="993">
        <f>SUM(D24:D26)</f>
        <v>221399</v>
      </c>
      <c r="E22" s="993">
        <f>SUM(E24:E26)</f>
        <v>221399</v>
      </c>
      <c r="F22" s="993">
        <f>SUM(F24:F26)</f>
        <v>0</v>
      </c>
      <c r="G22" s="993">
        <f>SUM(G24:G26)</f>
        <v>221399</v>
      </c>
      <c r="H22" s="993">
        <f>E22-F22-G22</f>
        <v>0</v>
      </c>
    </row>
    <row r="23" spans="1:8" ht="12.75">
      <c r="A23" s="994"/>
      <c r="B23" s="995"/>
      <c r="C23" s="996" t="s">
        <v>773</v>
      </c>
      <c r="D23" s="997"/>
      <c r="E23" s="997"/>
      <c r="F23" s="997"/>
      <c r="G23" s="997"/>
      <c r="H23" s="997"/>
    </row>
    <row r="24" spans="1:8" ht="12.75">
      <c r="A24" s="994"/>
      <c r="B24" s="999">
        <v>29516</v>
      </c>
      <c r="C24" s="1001" t="s">
        <v>254</v>
      </c>
      <c r="D24" s="997">
        <v>221399</v>
      </c>
      <c r="E24" s="997">
        <v>221399</v>
      </c>
      <c r="F24" s="997">
        <v>0</v>
      </c>
      <c r="G24" s="997">
        <v>221399</v>
      </c>
      <c r="H24" s="997">
        <f>E24-F24-G24</f>
        <v>0</v>
      </c>
    </row>
    <row r="25" spans="1:8" ht="12.75">
      <c r="A25" s="994"/>
      <c r="B25" s="995"/>
      <c r="C25" s="1001"/>
      <c r="D25" s="997"/>
      <c r="E25" s="997"/>
      <c r="F25" s="997"/>
      <c r="G25" s="997"/>
      <c r="H25" s="997"/>
    </row>
    <row r="26" spans="1:8" ht="13.5" thickBot="1">
      <c r="A26" s="1005"/>
      <c r="B26" s="1006"/>
      <c r="C26" s="1001"/>
      <c r="D26" s="997"/>
      <c r="E26" s="997"/>
      <c r="F26" s="997"/>
      <c r="G26" s="997"/>
      <c r="H26" s="1003"/>
    </row>
    <row r="27" spans="1:8" ht="13.5" thickBot="1">
      <c r="A27" s="990"/>
      <c r="B27" s="987"/>
      <c r="C27" s="1004" t="s">
        <v>797</v>
      </c>
      <c r="D27" s="993">
        <f>SUM(D29:D31)</f>
        <v>0</v>
      </c>
      <c r="E27" s="993">
        <f>SUM(E29:E31)</f>
        <v>0</v>
      </c>
      <c r="F27" s="993">
        <f>SUM(F29:F31)</f>
        <v>0</v>
      </c>
      <c r="G27" s="993">
        <f>SUM(G29:G31)</f>
        <v>0</v>
      </c>
      <c r="H27" s="993">
        <f>E27-F27-G27</f>
        <v>0</v>
      </c>
    </row>
    <row r="28" spans="1:8" ht="12.75">
      <c r="A28" s="994"/>
      <c r="B28" s="1006"/>
      <c r="C28" s="1000" t="s">
        <v>773</v>
      </c>
      <c r="D28" s="997"/>
      <c r="E28" s="997"/>
      <c r="F28" s="997"/>
      <c r="G28" s="997"/>
      <c r="H28" s="997"/>
    </row>
    <row r="29" spans="1:8" ht="12.75">
      <c r="A29" s="994"/>
      <c r="B29" s="1006"/>
      <c r="C29" s="1000"/>
      <c r="D29" s="997"/>
      <c r="E29" s="997"/>
      <c r="F29" s="997"/>
      <c r="G29" s="997"/>
      <c r="H29" s="997"/>
    </row>
    <row r="30" spans="1:8" ht="12.75">
      <c r="A30" s="1005"/>
      <c r="B30" s="1006"/>
      <c r="C30" s="1001"/>
      <c r="D30" s="997"/>
      <c r="E30" s="997"/>
      <c r="F30" s="997"/>
      <c r="G30" s="997"/>
      <c r="H30" s="997"/>
    </row>
    <row r="31" spans="1:8" ht="13.5" thickBot="1">
      <c r="A31" s="1005"/>
      <c r="B31" s="1006"/>
      <c r="C31" s="1002"/>
      <c r="D31" s="1003"/>
      <c r="E31" s="1003"/>
      <c r="F31" s="1003"/>
      <c r="G31" s="1003"/>
      <c r="H31" s="1003"/>
    </row>
    <row r="32" spans="1:8" ht="26.25" thickBot="1">
      <c r="A32" s="1007"/>
      <c r="B32" s="987"/>
      <c r="C32" s="1008" t="s">
        <v>776</v>
      </c>
      <c r="D32" s="1003">
        <f>D15+D22+D27</f>
        <v>877785</v>
      </c>
      <c r="E32" s="1003">
        <f>E15+E22+E27</f>
        <v>877785</v>
      </c>
      <c r="F32" s="1003">
        <f>F15+F22+F27</f>
        <v>0</v>
      </c>
      <c r="G32" s="1003">
        <f>G15+G22+G27</f>
        <v>877785</v>
      </c>
      <c r="H32" s="1003">
        <f>E32-F32-G32</f>
        <v>0</v>
      </c>
    </row>
    <row r="33" spans="1:8" ht="12.75">
      <c r="A33" s="1009"/>
      <c r="B33" s="1010"/>
      <c r="C33" s="1011"/>
      <c r="D33" s="1009"/>
      <c r="E33" s="1009"/>
      <c r="F33" s="1009"/>
      <c r="G33" s="1009"/>
      <c r="H33" s="1009"/>
    </row>
    <row r="34" ht="12.75">
      <c r="A34" s="1012" t="s">
        <v>777</v>
      </c>
    </row>
    <row r="35" spans="1:8" ht="13.5">
      <c r="A35" s="1013" t="s">
        <v>798</v>
      </c>
      <c r="C35" s="1012"/>
      <c r="D35" s="977"/>
      <c r="E35" s="977"/>
      <c r="F35" s="977"/>
      <c r="G35" s="977"/>
      <c r="H35" s="977"/>
    </row>
    <row r="36" spans="1:8" ht="12.75">
      <c r="A36" s="1012" t="s">
        <v>778</v>
      </c>
      <c r="C36" s="1012"/>
      <c r="D36" s="977"/>
      <c r="E36" s="977"/>
      <c r="F36" s="977"/>
      <c r="G36" s="977"/>
      <c r="H36" s="977"/>
    </row>
    <row r="37" spans="1:8" ht="12.75">
      <c r="A37" s="1014" t="s">
        <v>779</v>
      </c>
      <c r="C37" s="1012"/>
      <c r="D37" s="977"/>
      <c r="E37" s="977"/>
      <c r="F37" s="977"/>
      <c r="G37" s="977"/>
      <c r="H37" s="977"/>
    </row>
    <row r="38" ht="12.75">
      <c r="A38" s="1012" t="s">
        <v>780</v>
      </c>
    </row>
    <row r="39" spans="1:3" ht="12.75">
      <c r="A39" s="1015" t="s">
        <v>781</v>
      </c>
      <c r="C39" s="1012"/>
    </row>
    <row r="40" spans="1:7" ht="12.75">
      <c r="A40" s="1014" t="s">
        <v>782</v>
      </c>
      <c r="B40" s="977"/>
      <c r="C40" s="1014"/>
      <c r="D40" s="977"/>
      <c r="E40" s="977"/>
      <c r="F40" s="977"/>
      <c r="G40" s="977"/>
    </row>
    <row r="41" spans="1:3" ht="12.75">
      <c r="A41" s="1014" t="s">
        <v>783</v>
      </c>
      <c r="B41" s="977"/>
      <c r="C41" s="1014"/>
    </row>
    <row r="42" spans="1:3" ht="12.75">
      <c r="A42" s="1012" t="s">
        <v>784</v>
      </c>
      <c r="C42" s="1012"/>
    </row>
    <row r="43" spans="1:3" ht="12.75">
      <c r="A43" s="1012" t="s">
        <v>785</v>
      </c>
      <c r="C43" s="1012"/>
    </row>
    <row r="44" spans="1:3" ht="12.75">
      <c r="A44" s="1016"/>
      <c r="C44" s="1012"/>
    </row>
    <row r="45" spans="1:3" ht="12.75">
      <c r="A45" s="1017" t="s">
        <v>786</v>
      </c>
      <c r="C45" s="1012"/>
    </row>
    <row r="47" spans="1:7" ht="12.75">
      <c r="A47" s="975" t="s">
        <v>787</v>
      </c>
      <c r="C47" s="975" t="s">
        <v>788</v>
      </c>
      <c r="F47" s="975" t="s">
        <v>789</v>
      </c>
      <c r="G47" s="975" t="s">
        <v>790</v>
      </c>
    </row>
    <row r="48" spans="1:7" ht="12.75">
      <c r="A48" s="975" t="s">
        <v>791</v>
      </c>
      <c r="C48" s="1018">
        <v>40574</v>
      </c>
      <c r="F48" s="975" t="s">
        <v>791</v>
      </c>
      <c r="G48" s="1018">
        <v>40574</v>
      </c>
    </row>
  </sheetData>
  <mergeCells count="7">
    <mergeCell ref="G2:H2"/>
    <mergeCell ref="A9:H9"/>
    <mergeCell ref="C11:G11"/>
    <mergeCell ref="A8:H8"/>
    <mergeCell ref="A7:H7"/>
    <mergeCell ref="A10:H10"/>
    <mergeCell ref="G4:H4"/>
  </mergeCells>
  <printOptions horizontalCentered="1"/>
  <pageMargins left="0.5905511811023623" right="0.5905511811023623" top="0.31496062992125984" bottom="0.6299212598425197" header="0.5118110236220472" footer="0.5118110236220472"/>
  <pageSetup horizontalDpi="300" verticalDpi="300" orientation="landscape" paperSize="9" scale="75" r:id="rId1"/>
  <headerFooter alignWithMargins="0">
    <oddFooter>&amp;C22
</oddFooter>
  </headerFooter>
</worksheet>
</file>

<file path=xl/worksheets/sheet2.xml><?xml version="1.0" encoding="utf-8"?>
<worksheet xmlns="http://schemas.openxmlformats.org/spreadsheetml/2006/main" xmlns:r="http://schemas.openxmlformats.org/officeDocument/2006/relationships">
  <dimension ref="A1:M61"/>
  <sheetViews>
    <sheetView zoomScale="120" zoomScaleNormal="120" workbookViewId="0" topLeftCell="A1">
      <pane ySplit="1" topLeftCell="BM11" activePane="bottomLeft" state="frozen"/>
      <selection pane="topLeft" activeCell="A1" sqref="A1"/>
      <selection pane="bottomLeft" activeCell="F47" sqref="F47:G47"/>
    </sheetView>
  </sheetViews>
  <sheetFormatPr defaultColWidth="9.140625" defaultRowHeight="12.75" outlineLevelRow="1" outlineLevelCol="1"/>
  <cols>
    <col min="1" max="1" width="24.00390625" style="54" customWidth="1"/>
    <col min="2" max="2" width="13.140625" style="54" hidden="1" customWidth="1"/>
    <col min="3" max="3" width="12.7109375" style="54" customWidth="1"/>
    <col min="4" max="5" width="12.7109375" style="52" hidden="1" customWidth="1" outlineLevel="1"/>
    <col min="6" max="6" width="12.7109375" style="52" customWidth="1" collapsed="1"/>
    <col min="7" max="7" width="12.7109375" style="52" customWidth="1" outlineLevel="1"/>
    <col min="8" max="8" width="7.28125" style="52" customWidth="1" outlineLevel="1"/>
    <col min="9" max="9" width="32.421875" style="54" customWidth="1"/>
    <col min="10" max="10" width="16.00390625" style="54" bestFit="1" customWidth="1"/>
    <col min="11" max="11" width="12.57421875" style="53" customWidth="1" collapsed="1"/>
    <col min="12" max="12" width="9.140625" style="54" customWidth="1" collapsed="1"/>
    <col min="13" max="13" width="10.00390625" style="54" bestFit="1" customWidth="1"/>
    <col min="14" max="15" width="9.140625" style="54" customWidth="1"/>
    <col min="16" max="16" width="9.140625" style="54" customWidth="1" collapsed="1"/>
    <col min="17" max="17" width="9.140625" style="54" customWidth="1"/>
    <col min="18" max="27" width="9.140625" style="54" customWidth="1" collapsed="1"/>
    <col min="28" max="16384" width="9.140625" style="54" customWidth="1"/>
  </cols>
  <sheetData>
    <row r="1" spans="1:11" s="46" customFormat="1" ht="39" customHeight="1" thickBot="1">
      <c r="A1" s="43" t="s">
        <v>177</v>
      </c>
      <c r="B1" s="43" t="s">
        <v>422</v>
      </c>
      <c r="C1" s="43" t="s">
        <v>178</v>
      </c>
      <c r="D1" s="43" t="s">
        <v>179</v>
      </c>
      <c r="E1" s="43" t="s">
        <v>424</v>
      </c>
      <c r="F1" s="43" t="s">
        <v>130</v>
      </c>
      <c r="G1" s="44" t="s">
        <v>131</v>
      </c>
      <c r="H1" s="44" t="s">
        <v>914</v>
      </c>
      <c r="I1" s="45" t="s">
        <v>180</v>
      </c>
      <c r="K1" s="47"/>
    </row>
    <row r="2" spans="1:10" ht="12.75" customHeight="1">
      <c r="A2" s="48" t="s">
        <v>181</v>
      </c>
      <c r="B2" s="48"/>
      <c r="C2" s="49">
        <v>12222000</v>
      </c>
      <c r="D2" s="49"/>
      <c r="E2" s="50"/>
      <c r="F2" s="50">
        <v>10871957</v>
      </c>
      <c r="G2" s="50">
        <v>10718768.19</v>
      </c>
      <c r="H2" s="50">
        <f aca="true" t="shared" si="0" ref="H2:H26">G2/F2*100</f>
        <v>98.59097299593807</v>
      </c>
      <c r="I2" s="51"/>
      <c r="J2" s="52"/>
    </row>
    <row r="3" spans="1:10" ht="12.75" customHeight="1">
      <c r="A3" s="48" t="s">
        <v>182</v>
      </c>
      <c r="B3" s="48"/>
      <c r="C3" s="55">
        <v>39034000</v>
      </c>
      <c r="D3" s="55"/>
      <c r="E3" s="50"/>
      <c r="F3" s="50">
        <v>33007375</v>
      </c>
      <c r="G3" s="50">
        <v>31958903.47</v>
      </c>
      <c r="H3" s="50">
        <f t="shared" si="0"/>
        <v>96.8235234398373</v>
      </c>
      <c r="I3" s="51"/>
      <c r="J3" s="52"/>
    </row>
    <row r="4" spans="1:10" ht="12.75" customHeight="1">
      <c r="A4" s="48" t="s">
        <v>183</v>
      </c>
      <c r="B4" s="48"/>
      <c r="C4" s="55">
        <v>3843000</v>
      </c>
      <c r="D4" s="55"/>
      <c r="E4" s="50"/>
      <c r="F4" s="50">
        <v>5713048.31</v>
      </c>
      <c r="G4" s="50">
        <v>5001715.32</v>
      </c>
      <c r="H4" s="50">
        <f t="shared" si="0"/>
        <v>87.54897645876902</v>
      </c>
      <c r="I4" s="51"/>
      <c r="J4" s="52"/>
    </row>
    <row r="5" spans="1:10" ht="12.75" customHeight="1">
      <c r="A5" s="48" t="s">
        <v>184</v>
      </c>
      <c r="B5" s="48"/>
      <c r="C5" s="55">
        <v>65000</v>
      </c>
      <c r="D5" s="55"/>
      <c r="E5" s="50"/>
      <c r="F5" s="50">
        <v>64000</v>
      </c>
      <c r="G5" s="50">
        <v>63205.2</v>
      </c>
      <c r="H5" s="50">
        <f t="shared" si="0"/>
        <v>98.75812499999999</v>
      </c>
      <c r="I5" s="51"/>
      <c r="J5" s="52"/>
    </row>
    <row r="6" spans="1:10" ht="12.75" customHeight="1">
      <c r="A6" s="48" t="s">
        <v>185</v>
      </c>
      <c r="B6" s="48"/>
      <c r="C6" s="55">
        <v>122960200</v>
      </c>
      <c r="D6" s="55"/>
      <c r="E6" s="50"/>
      <c r="F6" s="55">
        <v>137654594.03</v>
      </c>
      <c r="G6" s="50">
        <f>38466522.68+8867213.01+808461.96</f>
        <v>48142197.65</v>
      </c>
      <c r="H6" s="50">
        <f t="shared" si="0"/>
        <v>34.97318632134285</v>
      </c>
      <c r="I6" s="51"/>
      <c r="J6" s="52"/>
    </row>
    <row r="7" spans="1:10" ht="12.75" customHeight="1">
      <c r="A7" s="48" t="s">
        <v>186</v>
      </c>
      <c r="B7" s="48"/>
      <c r="C7" s="49">
        <v>21000</v>
      </c>
      <c r="D7" s="49"/>
      <c r="E7" s="49"/>
      <c r="F7" s="50">
        <v>16000</v>
      </c>
      <c r="G7" s="50">
        <v>13690</v>
      </c>
      <c r="H7" s="50">
        <f t="shared" si="0"/>
        <v>85.5625</v>
      </c>
      <c r="I7" s="51"/>
      <c r="J7" s="52"/>
    </row>
    <row r="8" spans="1:10" ht="12.75" customHeight="1">
      <c r="A8" s="48" t="s">
        <v>187</v>
      </c>
      <c r="B8" s="48"/>
      <c r="C8" s="55">
        <f>53639000+269017000</f>
        <v>322656000</v>
      </c>
      <c r="D8" s="55"/>
      <c r="E8" s="50"/>
      <c r="F8" s="50">
        <v>325542881.02</v>
      </c>
      <c r="G8" s="50">
        <v>322330836.99</v>
      </c>
      <c r="H8" s="50">
        <f t="shared" si="0"/>
        <v>99.01332690183982</v>
      </c>
      <c r="I8" s="51"/>
      <c r="J8" s="52"/>
    </row>
    <row r="9" spans="1:10" ht="12.75" customHeight="1">
      <c r="A9" s="48" t="s">
        <v>188</v>
      </c>
      <c r="B9" s="48"/>
      <c r="C9" s="55">
        <v>1092000</v>
      </c>
      <c r="D9" s="55"/>
      <c r="E9" s="50"/>
      <c r="F9" s="50">
        <v>1069000</v>
      </c>
      <c r="G9" s="50">
        <v>997169.19</v>
      </c>
      <c r="H9" s="50">
        <f t="shared" si="0"/>
        <v>93.28056033676333</v>
      </c>
      <c r="I9" s="51"/>
      <c r="J9" s="52"/>
    </row>
    <row r="10" spans="1:10" ht="12.75" customHeight="1">
      <c r="A10" s="48" t="s">
        <v>189</v>
      </c>
      <c r="B10" s="48"/>
      <c r="C10" s="55">
        <v>310000</v>
      </c>
      <c r="D10" s="55"/>
      <c r="E10" s="50"/>
      <c r="F10" s="50">
        <v>180000</v>
      </c>
      <c r="G10" s="50">
        <v>97861.4</v>
      </c>
      <c r="H10" s="50">
        <f t="shared" si="0"/>
        <v>54.367444444444445</v>
      </c>
      <c r="I10" s="51"/>
      <c r="J10" s="52"/>
    </row>
    <row r="11" spans="1:10" ht="12.75" customHeight="1">
      <c r="A11" s="48" t="s">
        <v>190</v>
      </c>
      <c r="B11" s="48"/>
      <c r="C11" s="55">
        <f>98936000+350000</f>
        <v>99286000</v>
      </c>
      <c r="D11" s="55"/>
      <c r="E11" s="55"/>
      <c r="F11" s="50">
        <v>109661783.41</v>
      </c>
      <c r="G11" s="55">
        <v>108626308.31</v>
      </c>
      <c r="H11" s="50">
        <f t="shared" si="0"/>
        <v>99.05575573567995</v>
      </c>
      <c r="I11" s="51"/>
      <c r="J11" s="52"/>
    </row>
    <row r="12" spans="1:10" ht="12.75" customHeight="1">
      <c r="A12" s="48" t="s">
        <v>191</v>
      </c>
      <c r="B12" s="48"/>
      <c r="C12" s="55">
        <v>39058000</v>
      </c>
      <c r="D12" s="55"/>
      <c r="E12" s="50"/>
      <c r="F12" s="50">
        <v>20878000</v>
      </c>
      <c r="G12" s="50">
        <v>19559617.09</v>
      </c>
      <c r="H12" s="50">
        <f t="shared" si="0"/>
        <v>93.68530074719801</v>
      </c>
      <c r="I12" s="51"/>
      <c r="J12" s="52"/>
    </row>
    <row r="13" spans="1:10" ht="12.75" customHeight="1">
      <c r="A13" s="51" t="s">
        <v>192</v>
      </c>
      <c r="B13" s="51"/>
      <c r="C13" s="55">
        <f>6757000+145300000</f>
        <v>152057000</v>
      </c>
      <c r="D13" s="55"/>
      <c r="E13" s="55"/>
      <c r="F13" s="50">
        <v>158795826.1</v>
      </c>
      <c r="G13" s="55">
        <v>157896033.31</v>
      </c>
      <c r="H13" s="50">
        <f t="shared" si="0"/>
        <v>99.43336496172553</v>
      </c>
      <c r="I13" s="51"/>
      <c r="J13" s="52"/>
    </row>
    <row r="14" spans="1:10" ht="12.75" customHeight="1">
      <c r="A14" s="51" t="s">
        <v>193</v>
      </c>
      <c r="B14" s="51"/>
      <c r="C14" s="55">
        <v>288000</v>
      </c>
      <c r="D14" s="55"/>
      <c r="E14" s="55"/>
      <c r="F14" s="50">
        <v>274438013</v>
      </c>
      <c r="G14" s="55">
        <v>268724313.07</v>
      </c>
      <c r="H14" s="50">
        <f t="shared" si="0"/>
        <v>97.91803625615086</v>
      </c>
      <c r="I14" s="51"/>
      <c r="J14" s="52"/>
    </row>
    <row r="15" spans="1:10" ht="12.75" customHeight="1">
      <c r="A15" s="51" t="s">
        <v>194</v>
      </c>
      <c r="B15" s="51"/>
      <c r="C15" s="55">
        <f>378904000+1502000</f>
        <v>380406000</v>
      </c>
      <c r="D15" s="55"/>
      <c r="E15" s="55"/>
      <c r="F15" s="50">
        <v>420575101.73</v>
      </c>
      <c r="G15" s="55">
        <f>424936476.13-11424495+312900</f>
        <v>413824881.13</v>
      </c>
      <c r="H15" s="50">
        <f t="shared" si="0"/>
        <v>98.39500232604509</v>
      </c>
      <c r="I15" s="51"/>
      <c r="J15" s="52"/>
    </row>
    <row r="16" spans="1:10" ht="12.75" customHeight="1">
      <c r="A16" s="51" t="s">
        <v>195</v>
      </c>
      <c r="B16" s="51"/>
      <c r="C16" s="55">
        <v>59760000</v>
      </c>
      <c r="D16" s="55"/>
      <c r="E16" s="55"/>
      <c r="F16" s="50">
        <v>60022767.73</v>
      </c>
      <c r="G16" s="55">
        <f>57338340.68+81900</f>
        <v>57420240.68</v>
      </c>
      <c r="H16" s="50">
        <f t="shared" si="0"/>
        <v>95.66410022658914</v>
      </c>
      <c r="I16" s="51"/>
      <c r="J16" s="52"/>
    </row>
    <row r="17" spans="1:10" ht="12.75" customHeight="1">
      <c r="A17" s="51" t="s">
        <v>196</v>
      </c>
      <c r="B17" s="51"/>
      <c r="C17" s="55">
        <v>224000</v>
      </c>
      <c r="D17" s="55"/>
      <c r="E17" s="55"/>
      <c r="F17" s="50">
        <v>1204000</v>
      </c>
      <c r="G17" s="55">
        <v>1198831.4</v>
      </c>
      <c r="H17" s="50">
        <f t="shared" si="0"/>
        <v>99.57071428571427</v>
      </c>
      <c r="I17" s="51"/>
      <c r="J17" s="52"/>
    </row>
    <row r="18" spans="1:10" ht="12.75" customHeight="1">
      <c r="A18" s="51" t="s">
        <v>197</v>
      </c>
      <c r="B18" s="51"/>
      <c r="C18" s="55">
        <v>18845000</v>
      </c>
      <c r="D18" s="55"/>
      <c r="E18" s="55"/>
      <c r="F18" s="50">
        <v>16969776.55</v>
      </c>
      <c r="G18" s="55">
        <v>16686097.6</v>
      </c>
      <c r="H18" s="50">
        <f t="shared" si="0"/>
        <v>98.32832831260822</v>
      </c>
      <c r="I18" s="51"/>
      <c r="J18" s="52"/>
    </row>
    <row r="19" spans="1:10" ht="12.75" customHeight="1">
      <c r="A19" s="51" t="s">
        <v>198</v>
      </c>
      <c r="B19" s="51"/>
      <c r="C19" s="55">
        <f>25172000+174972000</f>
        <v>200144000</v>
      </c>
      <c r="D19" s="55"/>
      <c r="E19" s="55"/>
      <c r="F19" s="50">
        <v>221836158.15</v>
      </c>
      <c r="G19" s="55">
        <v>220041440.85</v>
      </c>
      <c r="H19" s="50">
        <f t="shared" si="0"/>
        <v>99.19097169957908</v>
      </c>
      <c r="I19" s="51"/>
      <c r="J19" s="52"/>
    </row>
    <row r="20" spans="1:10" ht="12.75" customHeight="1">
      <c r="A20" s="51" t="s">
        <v>199</v>
      </c>
      <c r="B20" s="51"/>
      <c r="C20" s="55">
        <f>10990000+17754000</f>
        <v>28744000</v>
      </c>
      <c r="D20" s="55"/>
      <c r="E20" s="55"/>
      <c r="F20" s="50">
        <v>28582676</v>
      </c>
      <c r="G20" s="55">
        <v>29608606.58</v>
      </c>
      <c r="H20" s="50">
        <f t="shared" si="0"/>
        <v>103.58934404882174</v>
      </c>
      <c r="I20" s="51"/>
      <c r="J20" s="52"/>
    </row>
    <row r="21" spans="1:10" ht="12.75" customHeight="1">
      <c r="A21" s="51" t="s">
        <v>200</v>
      </c>
      <c r="B21" s="51"/>
      <c r="C21" s="55">
        <f>2629000+247000</f>
        <v>2876000</v>
      </c>
      <c r="D21" s="55"/>
      <c r="E21" s="55"/>
      <c r="F21" s="50">
        <v>3325653.97</v>
      </c>
      <c r="G21" s="55">
        <v>3193235.65</v>
      </c>
      <c r="H21" s="50">
        <f t="shared" si="0"/>
        <v>96.0182772713422</v>
      </c>
      <c r="I21" s="51"/>
      <c r="J21" s="52"/>
    </row>
    <row r="22" spans="1:10" ht="12.75" customHeight="1" thickBot="1">
      <c r="A22" s="51" t="s">
        <v>821</v>
      </c>
      <c r="B22" s="51"/>
      <c r="C22" s="55">
        <v>1542000</v>
      </c>
      <c r="D22" s="55"/>
      <c r="E22" s="55"/>
      <c r="F22" s="50">
        <v>3881440</v>
      </c>
      <c r="G22" s="55">
        <v>4574768.56</v>
      </c>
      <c r="H22" s="55">
        <f t="shared" si="0"/>
        <v>117.86266334144028</v>
      </c>
      <c r="I22" s="51"/>
      <c r="J22" s="52"/>
    </row>
    <row r="23" spans="1:13" ht="19.5" customHeight="1" thickBot="1">
      <c r="A23" s="56" t="s">
        <v>822</v>
      </c>
      <c r="B23" s="56"/>
      <c r="C23" s="57">
        <f>SUM(C2:C22)</f>
        <v>1485433200</v>
      </c>
      <c r="D23" s="57">
        <f>SUM(D2:D22)</f>
        <v>0</v>
      </c>
      <c r="E23" s="57">
        <f>SUM(E2:E22)</f>
        <v>0</v>
      </c>
      <c r="F23" s="57">
        <f>SUM(F2:F22)</f>
        <v>1834290052</v>
      </c>
      <c r="G23" s="57">
        <f>SUM(G2:G22)</f>
        <v>1720678721.6399996</v>
      </c>
      <c r="H23" s="57">
        <f t="shared" si="0"/>
        <v>93.80625053076392</v>
      </c>
      <c r="I23" s="58"/>
      <c r="L23" s="59"/>
      <c r="M23" s="52"/>
    </row>
    <row r="24" spans="1:9" ht="22.5" customHeight="1">
      <c r="A24" s="60" t="s">
        <v>101</v>
      </c>
      <c r="B24" s="61"/>
      <c r="C24" s="49">
        <v>20445000</v>
      </c>
      <c r="D24" s="49"/>
      <c r="E24" s="49"/>
      <c r="F24" s="49">
        <f>10268788.93+2000</f>
        <v>10270788.93</v>
      </c>
      <c r="G24" s="49">
        <f>16801479.79+198.96</f>
        <v>16801678.75</v>
      </c>
      <c r="H24" s="49">
        <f t="shared" si="0"/>
        <v>163.58703177049907</v>
      </c>
      <c r="I24" s="51"/>
    </row>
    <row r="25" spans="1:9" ht="12.75" customHeight="1">
      <c r="A25" s="51" t="s">
        <v>102</v>
      </c>
      <c r="B25" s="51"/>
      <c r="C25" s="49">
        <v>173609000</v>
      </c>
      <c r="D25" s="49"/>
      <c r="E25" s="49"/>
      <c r="F25" s="49">
        <v>195152874</v>
      </c>
      <c r="G25" s="49">
        <v>195152874</v>
      </c>
      <c r="H25" s="49">
        <f t="shared" si="0"/>
        <v>100</v>
      </c>
      <c r="I25" s="51"/>
    </row>
    <row r="26" spans="1:10" ht="12.75" customHeight="1">
      <c r="A26" s="51" t="s">
        <v>103</v>
      </c>
      <c r="B26" s="51"/>
      <c r="C26" s="49">
        <v>-20000000</v>
      </c>
      <c r="D26" s="49"/>
      <c r="E26" s="49"/>
      <c r="F26" s="49">
        <v>-10000000</v>
      </c>
      <c r="G26" s="49">
        <v>-9675674.97</v>
      </c>
      <c r="H26" s="49">
        <f t="shared" si="0"/>
        <v>96.75674970000001</v>
      </c>
      <c r="I26" s="61"/>
      <c r="J26" s="62"/>
    </row>
    <row r="27" spans="1:10" ht="12.75" customHeight="1" hidden="1" outlineLevel="1">
      <c r="A27" s="51" t="s">
        <v>104</v>
      </c>
      <c r="B27" s="51"/>
      <c r="C27" s="49"/>
      <c r="D27" s="49"/>
      <c r="E27" s="49"/>
      <c r="F27" s="49"/>
      <c r="G27" s="49"/>
      <c r="H27" s="49">
        <v>0</v>
      </c>
      <c r="I27" s="61" t="s">
        <v>105</v>
      </c>
      <c r="J27" s="63"/>
    </row>
    <row r="28" spans="1:10" ht="19.5" customHeight="1" collapsed="1">
      <c r="A28" s="64" t="s">
        <v>106</v>
      </c>
      <c r="B28" s="64"/>
      <c r="C28" s="65">
        <f>C23+C24+C25+C26</f>
        <v>1659487200</v>
      </c>
      <c r="D28" s="65">
        <f>D23+D24+D25+D26</f>
        <v>0</v>
      </c>
      <c r="E28" s="65">
        <f>E23+E24+E25+E26</f>
        <v>0</v>
      </c>
      <c r="F28" s="65">
        <f>F23+F24+F25+F26</f>
        <v>2029713714.93</v>
      </c>
      <c r="G28" s="65">
        <f>G23+G24+G25+G26</f>
        <v>1922957599.4199996</v>
      </c>
      <c r="H28" s="65">
        <f>G28/F28*100</f>
        <v>94.74033629842806</v>
      </c>
      <c r="I28" s="66"/>
      <c r="J28" s="67"/>
    </row>
    <row r="29" spans="1:9" ht="12.75" customHeight="1">
      <c r="A29" s="51" t="s">
        <v>107</v>
      </c>
      <c r="B29" s="51"/>
      <c r="C29" s="49">
        <v>417740000</v>
      </c>
      <c r="D29" s="49"/>
      <c r="E29" s="49"/>
      <c r="F29" s="49">
        <v>480938979.25</v>
      </c>
      <c r="G29" s="49">
        <v>473110380.23</v>
      </c>
      <c r="H29" s="49">
        <f>G29/F29*100</f>
        <v>98.37222613309316</v>
      </c>
      <c r="I29" s="51"/>
    </row>
    <row r="30" spans="1:9" ht="12.75" customHeight="1" hidden="1" outlineLevel="1">
      <c r="A30" s="51" t="s">
        <v>108</v>
      </c>
      <c r="B30" s="51"/>
      <c r="C30" s="49">
        <v>0</v>
      </c>
      <c r="D30" s="49">
        <v>0</v>
      </c>
      <c r="E30" s="49"/>
      <c r="F30" s="49"/>
      <c r="G30" s="49"/>
      <c r="H30" s="49" t="e">
        <f>G30/F30*100</f>
        <v>#DIV/0!</v>
      </c>
      <c r="I30" s="51"/>
    </row>
    <row r="31" spans="1:9" ht="19.5" customHeight="1" collapsed="1">
      <c r="A31" s="64" t="s">
        <v>109</v>
      </c>
      <c r="B31" s="64"/>
      <c r="C31" s="65">
        <f>SUM(C29:C30)</f>
        <v>417740000</v>
      </c>
      <c r="D31" s="65">
        <f>SUM(D29:D30)</f>
        <v>0</v>
      </c>
      <c r="E31" s="65">
        <f>SUM(E29:E30)</f>
        <v>0</v>
      </c>
      <c r="F31" s="65">
        <f>SUM(F29:F30)</f>
        <v>480938979.25</v>
      </c>
      <c r="G31" s="65">
        <f>SUM(G29:G30)</f>
        <v>473110380.23</v>
      </c>
      <c r="H31" s="65">
        <f>G31/F31*100</f>
        <v>98.37222613309316</v>
      </c>
      <c r="I31" s="66"/>
    </row>
    <row r="32" spans="1:9" ht="6.75" customHeight="1" thickBot="1">
      <c r="A32" s="68"/>
      <c r="B32" s="68"/>
      <c r="C32" s="69"/>
      <c r="D32" s="69"/>
      <c r="E32" s="69"/>
      <c r="F32" s="69"/>
      <c r="G32" s="69"/>
      <c r="H32" s="69"/>
      <c r="I32" s="51"/>
    </row>
    <row r="33" spans="1:9" ht="19.5" customHeight="1" thickBot="1">
      <c r="A33" s="70" t="s">
        <v>110</v>
      </c>
      <c r="B33" s="70"/>
      <c r="C33" s="71">
        <f>C28+C31</f>
        <v>2077227200</v>
      </c>
      <c r="D33" s="71">
        <f>SUM(D28,D31)</f>
        <v>0</v>
      </c>
      <c r="E33" s="71">
        <f>SUM(E28,E31)</f>
        <v>0</v>
      </c>
      <c r="F33" s="71">
        <f>SUM(F28,F31)</f>
        <v>2510652694.1800003</v>
      </c>
      <c r="G33" s="71">
        <f>SUM(G28,G31)</f>
        <v>2396067979.6499996</v>
      </c>
      <c r="H33" s="71">
        <f>G33/F33*100</f>
        <v>95.43605872705444</v>
      </c>
      <c r="I33" s="42"/>
    </row>
    <row r="34" spans="1:9" ht="12.75" customHeight="1">
      <c r="A34" s="72" t="s">
        <v>111</v>
      </c>
      <c r="B34" s="72"/>
      <c r="C34" s="49"/>
      <c r="D34" s="49"/>
      <c r="E34" s="49"/>
      <c r="F34" s="49"/>
      <c r="G34" s="49"/>
      <c r="H34" s="49"/>
      <c r="I34" s="51"/>
    </row>
    <row r="35" spans="1:9" ht="12.75" customHeight="1">
      <c r="A35" s="51" t="s">
        <v>112</v>
      </c>
      <c r="B35" s="51"/>
      <c r="C35" s="49">
        <v>30000000</v>
      </c>
      <c r="D35" s="49">
        <v>30000000</v>
      </c>
      <c r="E35" s="49"/>
      <c r="F35" s="49">
        <f>D35+E35</f>
        <v>30000000</v>
      </c>
      <c r="G35" s="49">
        <v>30000000</v>
      </c>
      <c r="H35" s="49">
        <f>G35/F35*100</f>
        <v>100</v>
      </c>
      <c r="I35" s="1334" t="s">
        <v>113</v>
      </c>
    </row>
    <row r="36" spans="1:9" ht="12.75" customHeight="1">
      <c r="A36" s="51"/>
      <c r="B36" s="51"/>
      <c r="C36" s="49"/>
      <c r="D36" s="49"/>
      <c r="E36" s="49"/>
      <c r="F36" s="49"/>
      <c r="G36" s="49"/>
      <c r="H36" s="49"/>
      <c r="I36" s="1334"/>
    </row>
    <row r="37" spans="1:9" ht="12.75" customHeight="1">
      <c r="A37" s="51" t="s">
        <v>114</v>
      </c>
      <c r="B37" s="51"/>
      <c r="C37" s="49">
        <v>250000000</v>
      </c>
      <c r="D37" s="49"/>
      <c r="E37" s="49"/>
      <c r="F37" s="49">
        <v>250000000</v>
      </c>
      <c r="G37" s="49">
        <v>250000000</v>
      </c>
      <c r="H37" s="49">
        <f>G37/F37*100</f>
        <v>100</v>
      </c>
      <c r="I37" s="61" t="s">
        <v>115</v>
      </c>
    </row>
    <row r="38" spans="1:9" ht="12.75" customHeight="1">
      <c r="A38" s="51" t="s">
        <v>116</v>
      </c>
      <c r="B38" s="51"/>
      <c r="C38" s="49">
        <v>-30000000</v>
      </c>
      <c r="D38" s="49">
        <v>-30000000</v>
      </c>
      <c r="E38" s="49"/>
      <c r="F38" s="49">
        <f>D38+E38</f>
        <v>-30000000</v>
      </c>
      <c r="G38" s="49">
        <v>-30000000</v>
      </c>
      <c r="H38" s="49">
        <f>G38/F38*100</f>
        <v>100</v>
      </c>
      <c r="I38" s="1334" t="s">
        <v>117</v>
      </c>
    </row>
    <row r="39" spans="1:9" ht="12.75" customHeight="1">
      <c r="A39" s="51"/>
      <c r="B39" s="51"/>
      <c r="C39" s="49"/>
      <c r="D39" s="49"/>
      <c r="E39" s="49"/>
      <c r="F39" s="49"/>
      <c r="G39" s="49"/>
      <c r="H39" s="49"/>
      <c r="I39" s="1334"/>
    </row>
    <row r="40" spans="1:10" ht="12.75" customHeight="1">
      <c r="A40" s="51" t="s">
        <v>118</v>
      </c>
      <c r="B40" s="51"/>
      <c r="C40" s="49">
        <v>-95074000</v>
      </c>
      <c r="D40" s="49"/>
      <c r="E40" s="49"/>
      <c r="F40" s="49">
        <v>-95074000</v>
      </c>
      <c r="G40" s="49">
        <f>-70761609-25000000</f>
        <v>-95761609</v>
      </c>
      <c r="H40" s="49">
        <f>G40/F40*100</f>
        <v>100.7232355849128</v>
      </c>
      <c r="I40" s="1335" t="s">
        <v>119</v>
      </c>
      <c r="J40" s="1333"/>
    </row>
    <row r="41" spans="1:10" ht="12.75" customHeight="1">
      <c r="A41" s="51"/>
      <c r="B41" s="51"/>
      <c r="C41" s="49"/>
      <c r="D41" s="49"/>
      <c r="E41" s="49"/>
      <c r="F41" s="49"/>
      <c r="G41" s="49"/>
      <c r="H41" s="49"/>
      <c r="I41" s="1335"/>
      <c r="J41" s="1333"/>
    </row>
    <row r="42" spans="1:9" ht="12.75" customHeight="1">
      <c r="A42" s="51"/>
      <c r="B42" s="51"/>
      <c r="C42" s="49"/>
      <c r="D42" s="49"/>
      <c r="E42" s="49"/>
      <c r="F42" s="49"/>
      <c r="G42" s="49"/>
      <c r="H42" s="49"/>
      <c r="I42" s="1336"/>
    </row>
    <row r="43" spans="1:9" ht="12.75" customHeight="1">
      <c r="A43" s="51"/>
      <c r="B43" s="51"/>
      <c r="C43" s="49"/>
      <c r="D43" s="49"/>
      <c r="E43" s="49"/>
      <c r="F43" s="49"/>
      <c r="G43" s="49"/>
      <c r="H43" s="49"/>
      <c r="I43" s="1336"/>
    </row>
    <row r="44" spans="1:9" ht="12.75" customHeight="1">
      <c r="A44" s="51" t="s">
        <v>120</v>
      </c>
      <c r="B44" s="51"/>
      <c r="C44" s="49">
        <v>0</v>
      </c>
      <c r="D44" s="49"/>
      <c r="E44" s="49"/>
      <c r="F44" s="49">
        <v>42843869.47</v>
      </c>
      <c r="G44" s="49">
        <f>-26075767.04-84042</f>
        <v>-26159809.04</v>
      </c>
      <c r="H44" s="49">
        <v>0</v>
      </c>
      <c r="I44" s="61"/>
    </row>
    <row r="45" spans="1:9" ht="12.75" customHeight="1" hidden="1">
      <c r="A45" s="51" t="s">
        <v>120</v>
      </c>
      <c r="B45" s="51"/>
      <c r="C45" s="49"/>
      <c r="D45" s="49"/>
      <c r="E45" s="49"/>
      <c r="F45" s="49"/>
      <c r="G45" s="49"/>
      <c r="H45" s="49"/>
      <c r="I45" s="61" t="s">
        <v>121</v>
      </c>
    </row>
    <row r="46" spans="1:9" ht="12.75" customHeight="1" outlineLevel="1" thickBot="1">
      <c r="A46" s="51" t="s">
        <v>122</v>
      </c>
      <c r="B46" s="51"/>
      <c r="C46" s="49">
        <v>0</v>
      </c>
      <c r="D46" s="49"/>
      <c r="E46" s="49"/>
      <c r="F46" s="49">
        <v>0</v>
      </c>
      <c r="G46" s="49">
        <v>-304.12</v>
      </c>
      <c r="H46" s="49">
        <v>0</v>
      </c>
      <c r="I46" s="61"/>
    </row>
    <row r="47" spans="1:9" ht="19.5" customHeight="1" thickBot="1">
      <c r="A47" s="73" t="s">
        <v>123</v>
      </c>
      <c r="B47" s="73"/>
      <c r="C47" s="74">
        <f>SUM(C35:C46)</f>
        <v>154926000</v>
      </c>
      <c r="D47" s="74">
        <f>SUM(D35:D46)</f>
        <v>0</v>
      </c>
      <c r="E47" s="74">
        <f>SUM(E35:E46)</f>
        <v>0</v>
      </c>
      <c r="F47" s="74">
        <f>SUM(F35:F46)</f>
        <v>197769869.47</v>
      </c>
      <c r="G47" s="74">
        <f>SUM(G35:G46)</f>
        <v>128078277.84</v>
      </c>
      <c r="H47" s="74"/>
      <c r="I47" s="74"/>
    </row>
    <row r="48" spans="1:9" ht="16.5" customHeight="1" thickBot="1">
      <c r="A48" s="75"/>
      <c r="B48" s="75"/>
      <c r="C48" s="76"/>
      <c r="D48" s="76"/>
      <c r="E48" s="76"/>
      <c r="F48" s="76"/>
      <c r="G48" s="76"/>
      <c r="H48" s="77"/>
      <c r="I48" s="76"/>
    </row>
    <row r="49" spans="1:9" ht="19.5" customHeight="1" thickBot="1">
      <c r="A49" s="78" t="s">
        <v>124</v>
      </c>
      <c r="B49" s="78"/>
      <c r="C49" s="79">
        <f>1922237800+63400</f>
        <v>1922301200</v>
      </c>
      <c r="D49" s="79">
        <v>2597506827.78</v>
      </c>
      <c r="E49" s="79">
        <v>43382833.22</v>
      </c>
      <c r="F49" s="79">
        <v>2312882824.71</v>
      </c>
      <c r="G49" s="79">
        <v>2267989701.81</v>
      </c>
      <c r="H49" s="79">
        <f>G49/F49*100</f>
        <v>98.05899709140566</v>
      </c>
      <c r="I49" s="79"/>
    </row>
    <row r="50" spans="1:9" ht="18.75" customHeight="1" thickBot="1">
      <c r="A50" s="80" t="s">
        <v>125</v>
      </c>
      <c r="B50" s="80"/>
      <c r="C50" s="81"/>
      <c r="D50" s="81"/>
      <c r="E50" s="81"/>
      <c r="F50" s="81"/>
      <c r="G50" s="81"/>
      <c r="H50" s="81"/>
      <c r="I50" s="81"/>
    </row>
    <row r="51" spans="1:9" ht="19.5" customHeight="1" thickBot="1">
      <c r="A51" s="78" t="s">
        <v>126</v>
      </c>
      <c r="B51" s="78"/>
      <c r="C51" s="79">
        <f aca="true" t="shared" si="1" ref="C51:H51">C49</f>
        <v>1922301200</v>
      </c>
      <c r="D51" s="79">
        <f t="shared" si="1"/>
        <v>2597506827.78</v>
      </c>
      <c r="E51" s="79">
        <f t="shared" si="1"/>
        <v>43382833.22</v>
      </c>
      <c r="F51" s="79">
        <f t="shared" si="1"/>
        <v>2312882824.71</v>
      </c>
      <c r="G51" s="79">
        <f t="shared" si="1"/>
        <v>2267989701.81</v>
      </c>
      <c r="H51" s="79">
        <f t="shared" si="1"/>
        <v>98.05899709140566</v>
      </c>
      <c r="I51" s="79"/>
    </row>
    <row r="52" spans="1:9" ht="19.5" customHeight="1" thickBot="1">
      <c r="A52" s="70" t="s">
        <v>127</v>
      </c>
      <c r="B52" s="70"/>
      <c r="C52" s="71">
        <f aca="true" t="shared" si="2" ref="C52:H52">C33</f>
        <v>2077227200</v>
      </c>
      <c r="D52" s="71">
        <f t="shared" si="2"/>
        <v>0</v>
      </c>
      <c r="E52" s="71">
        <f t="shared" si="2"/>
        <v>0</v>
      </c>
      <c r="F52" s="71">
        <f t="shared" si="2"/>
        <v>2510652694.1800003</v>
      </c>
      <c r="G52" s="71">
        <f t="shared" si="2"/>
        <v>2396067979.6499996</v>
      </c>
      <c r="H52" s="71">
        <f t="shared" si="2"/>
        <v>95.43605872705444</v>
      </c>
      <c r="I52" s="71"/>
    </row>
    <row r="53" spans="1:9" ht="19.5" customHeight="1" thickBot="1">
      <c r="A53" s="73" t="s">
        <v>128</v>
      </c>
      <c r="B53" s="73"/>
      <c r="C53" s="74">
        <f>C52-C51</f>
        <v>154926000</v>
      </c>
      <c r="D53" s="74">
        <f>D52-D51</f>
        <v>-2597506827.78</v>
      </c>
      <c r="E53" s="74">
        <f>E52-E51</f>
        <v>-43382833.22</v>
      </c>
      <c r="F53" s="74">
        <f>F52-F51</f>
        <v>197769869.47000027</v>
      </c>
      <c r="G53" s="74">
        <f>G52-G51</f>
        <v>128078277.83999968</v>
      </c>
      <c r="H53" s="74"/>
      <c r="I53" s="74"/>
    </row>
    <row r="55" ht="12.75">
      <c r="C55" s="52"/>
    </row>
    <row r="61" ht="12.75">
      <c r="I61" s="52">
        <f>117506154.52-116931999.725</f>
        <v>574154.7950000018</v>
      </c>
    </row>
  </sheetData>
  <mergeCells count="4">
    <mergeCell ref="J40:J41"/>
    <mergeCell ref="I35:I36"/>
    <mergeCell ref="I38:I39"/>
    <mergeCell ref="I40:I43"/>
  </mergeCells>
  <printOptions gridLines="1" horizontalCentered="1"/>
  <pageMargins left="0.48" right="0.25" top="1.13" bottom="0.7874015748031497" header="0.67" footer="0.3937007874015748"/>
  <pageSetup horizontalDpi="300" verticalDpi="300" orientation="portrait" paperSize="9" scale="90" r:id="rId1"/>
  <headerFooter alignWithMargins="0">
    <oddHeader>&amp;Lv Kč&amp;C&amp;"Arial CE,Tučné"&amp;12
Rekapitulace příjmů, výdajů a financování roku 2010&amp;"Arial CE,Obyčejné"&amp;10
&amp;R&amp;"Arial,Tučné"ČÁST A: příloha č. 1</oddHeader>
    <oddFooter>&amp;C1</oddFooter>
  </headerFooter>
</worksheet>
</file>

<file path=xl/worksheets/sheet20.xml><?xml version="1.0" encoding="utf-8"?>
<worksheet xmlns="http://schemas.openxmlformats.org/spreadsheetml/2006/main" xmlns:r="http://schemas.openxmlformats.org/officeDocument/2006/relationships">
  <dimension ref="A1:H48"/>
  <sheetViews>
    <sheetView workbookViewId="0" topLeftCell="A1">
      <selection activeCell="C42" sqref="C42"/>
    </sheetView>
  </sheetViews>
  <sheetFormatPr defaultColWidth="9.140625" defaultRowHeight="12.75"/>
  <cols>
    <col min="1" max="1" width="17.421875" style="1022" customWidth="1"/>
    <col min="2" max="2" width="6.7109375" style="1022" customWidth="1"/>
    <col min="3" max="3" width="50.7109375" style="1022" customWidth="1"/>
    <col min="4" max="6" width="15.57421875" style="1022" customWidth="1"/>
    <col min="7" max="7" width="16.28125" style="1022" customWidth="1"/>
    <col min="8" max="8" width="15.57421875" style="1022" customWidth="1"/>
    <col min="9" max="16384" width="9.140625" style="1022" customWidth="1"/>
  </cols>
  <sheetData>
    <row r="1" spans="1:8" ht="12.75">
      <c r="A1" s="1019"/>
      <c r="B1" s="1020"/>
      <c r="C1" s="1021"/>
      <c r="H1" s="1019"/>
    </row>
    <row r="2" spans="2:8" ht="12.75">
      <c r="B2" s="1023"/>
      <c r="C2" s="1024"/>
      <c r="G2" s="1386" t="s">
        <v>754</v>
      </c>
      <c r="H2" s="1386"/>
    </row>
    <row r="3" ht="12.75">
      <c r="A3" s="1022" t="s">
        <v>805</v>
      </c>
    </row>
    <row r="4" spans="1:8" ht="14.25">
      <c r="A4" s="1022" t="s">
        <v>793</v>
      </c>
      <c r="G4" s="1391" t="s">
        <v>756</v>
      </c>
      <c r="H4" s="1391"/>
    </row>
    <row r="5" ht="12.75">
      <c r="A5" s="1022" t="s">
        <v>257</v>
      </c>
    </row>
    <row r="7" spans="1:8" ht="12.75">
      <c r="A7" s="1389" t="s">
        <v>758</v>
      </c>
      <c r="B7" s="1389"/>
      <c r="C7" s="1389"/>
      <c r="D7" s="1389"/>
      <c r="E7" s="1389"/>
      <c r="F7" s="1389"/>
      <c r="G7" s="1389"/>
      <c r="H7" s="1389"/>
    </row>
    <row r="8" spans="1:8" ht="12.75">
      <c r="A8" s="1390" t="s">
        <v>759</v>
      </c>
      <c r="B8" s="1390"/>
      <c r="C8" s="1390"/>
      <c r="D8" s="1390"/>
      <c r="E8" s="1390"/>
      <c r="F8" s="1390"/>
      <c r="G8" s="1390"/>
      <c r="H8" s="1390"/>
    </row>
    <row r="9" spans="1:8" ht="12.75">
      <c r="A9" s="1387" t="s">
        <v>794</v>
      </c>
      <c r="B9" s="1388"/>
      <c r="C9" s="1388"/>
      <c r="D9" s="1388"/>
      <c r="E9" s="1388"/>
      <c r="F9" s="1388"/>
      <c r="G9" s="1388"/>
      <c r="H9" s="1388"/>
    </row>
    <row r="10" spans="1:8" ht="12.75">
      <c r="A10" s="1390" t="s">
        <v>760</v>
      </c>
      <c r="B10" s="1390"/>
      <c r="C10" s="1390"/>
      <c r="D10" s="1390"/>
      <c r="E10" s="1390"/>
      <c r="F10" s="1390"/>
      <c r="G10" s="1390"/>
      <c r="H10" s="1390"/>
    </row>
    <row r="11" spans="1:8" ht="12.75">
      <c r="A11" s="1025"/>
      <c r="B11" s="1025"/>
      <c r="C11" s="1389"/>
      <c r="D11" s="1389"/>
      <c r="E11" s="1389"/>
      <c r="F11" s="1389"/>
      <c r="G11" s="1389"/>
      <c r="H11" s="1025"/>
    </row>
    <row r="12" ht="13.5" thickBot="1">
      <c r="H12" s="1026" t="s">
        <v>761</v>
      </c>
    </row>
    <row r="13" spans="1:8" s="1032" customFormat="1" ht="90" thickBot="1">
      <c r="A13" s="1027" t="s">
        <v>762</v>
      </c>
      <c r="B13" s="1028" t="s">
        <v>763</v>
      </c>
      <c r="C13" s="1029" t="s">
        <v>764</v>
      </c>
      <c r="D13" s="1030" t="s">
        <v>481</v>
      </c>
      <c r="E13" s="1030" t="s">
        <v>765</v>
      </c>
      <c r="F13" s="1031" t="s">
        <v>795</v>
      </c>
      <c r="G13" s="1030" t="s">
        <v>766</v>
      </c>
      <c r="H13" s="1030" t="s">
        <v>767</v>
      </c>
    </row>
    <row r="14" spans="1:8" ht="13.5" thickBot="1">
      <c r="A14" s="1033" t="s">
        <v>768</v>
      </c>
      <c r="B14" s="1034" t="s">
        <v>769</v>
      </c>
      <c r="C14" s="1035" t="s">
        <v>770</v>
      </c>
      <c r="D14" s="1035">
        <v>1</v>
      </c>
      <c r="E14" s="1035">
        <v>2</v>
      </c>
      <c r="F14" s="1036">
        <v>3</v>
      </c>
      <c r="G14" s="1035">
        <v>4</v>
      </c>
      <c r="H14" s="1035" t="s">
        <v>771</v>
      </c>
    </row>
    <row r="15" spans="1:8" ht="13.5" thickBot="1">
      <c r="A15" s="1037"/>
      <c r="B15" s="1038"/>
      <c r="C15" s="1039" t="s">
        <v>772</v>
      </c>
      <c r="D15" s="1040">
        <f>SUM(D17:D21)</f>
        <v>2155074</v>
      </c>
      <c r="E15" s="1040">
        <f>SUM(E17:E21)</f>
        <v>2155074</v>
      </c>
      <c r="F15" s="1040">
        <f>SUM(F17:F21)</f>
        <v>0</v>
      </c>
      <c r="G15" s="1040">
        <f>SUM(G17:G21)</f>
        <v>2155074</v>
      </c>
      <c r="H15" s="1040">
        <f>E15-F15-G15</f>
        <v>0</v>
      </c>
    </row>
    <row r="16" spans="1:8" ht="12.75">
      <c r="A16" s="1041"/>
      <c r="B16" s="1042"/>
      <c r="C16" s="1043" t="s">
        <v>773</v>
      </c>
      <c r="D16" s="1044"/>
      <c r="E16" s="1044"/>
      <c r="F16" s="1044"/>
      <c r="G16" s="1044"/>
      <c r="H16" s="1045"/>
    </row>
    <row r="17" spans="1:8" ht="12.75">
      <c r="A17" s="1041"/>
      <c r="B17" s="1046">
        <v>15065</v>
      </c>
      <c r="C17" s="1047" t="s">
        <v>256</v>
      </c>
      <c r="D17" s="1044">
        <v>2155074</v>
      </c>
      <c r="E17" s="1044">
        <v>2155074</v>
      </c>
      <c r="F17" s="1044">
        <v>0</v>
      </c>
      <c r="G17" s="1044">
        <v>2155074</v>
      </c>
      <c r="H17" s="1044">
        <f>E17-F17-G17</f>
        <v>0</v>
      </c>
    </row>
    <row r="18" spans="1:8" ht="12.75">
      <c r="A18" s="1041"/>
      <c r="B18" s="1046"/>
      <c r="C18" s="1048"/>
      <c r="D18" s="1044"/>
      <c r="E18" s="1044"/>
      <c r="F18" s="1044"/>
      <c r="G18" s="1044"/>
      <c r="H18" s="1044"/>
    </row>
    <row r="19" spans="1:8" ht="12.75">
      <c r="A19" s="1041"/>
      <c r="B19" s="1046"/>
      <c r="C19" s="1048"/>
      <c r="D19" s="1044"/>
      <c r="E19" s="1044"/>
      <c r="F19" s="1044"/>
      <c r="G19" s="1044"/>
      <c r="H19" s="1044"/>
    </row>
    <row r="20" spans="1:8" ht="12.75">
      <c r="A20" s="1041"/>
      <c r="B20" s="1046"/>
      <c r="C20" s="1048"/>
      <c r="D20" s="1044"/>
      <c r="E20" s="1044"/>
      <c r="F20" s="1044"/>
      <c r="G20" s="1044"/>
      <c r="H20" s="1044"/>
    </row>
    <row r="21" spans="1:8" ht="13.5" thickBot="1">
      <c r="A21" s="1041"/>
      <c r="B21" s="1046"/>
      <c r="C21" s="1049"/>
      <c r="D21" s="1050"/>
      <c r="E21" s="1050"/>
      <c r="F21" s="1050"/>
      <c r="G21" s="1050"/>
      <c r="H21" s="1050"/>
    </row>
    <row r="22" spans="1:8" ht="13.5" thickBot="1">
      <c r="A22" s="1037"/>
      <c r="B22" s="1034"/>
      <c r="C22" s="1051" t="s">
        <v>796</v>
      </c>
      <c r="D22" s="1040">
        <f>SUM(D24:D26)</f>
        <v>0</v>
      </c>
      <c r="E22" s="1040">
        <f>SUM(E24:E26)</f>
        <v>0</v>
      </c>
      <c r="F22" s="1040">
        <f>SUM(F24:F26)</f>
        <v>0</v>
      </c>
      <c r="G22" s="1040">
        <f>SUM(G24:G26)</f>
        <v>0</v>
      </c>
      <c r="H22" s="1040">
        <f>E22-F22-G22</f>
        <v>0</v>
      </c>
    </row>
    <row r="23" spans="1:8" ht="12.75">
      <c r="A23" s="1041"/>
      <c r="B23" s="1042"/>
      <c r="C23" s="1043" t="s">
        <v>773</v>
      </c>
      <c r="D23" s="1044"/>
      <c r="E23" s="1044"/>
      <c r="F23" s="1044"/>
      <c r="G23" s="1044"/>
      <c r="H23" s="1044"/>
    </row>
    <row r="24" spans="1:8" ht="12.75">
      <c r="A24" s="1041"/>
      <c r="B24" s="1042"/>
      <c r="C24" s="1048"/>
      <c r="D24" s="1044"/>
      <c r="E24" s="1044"/>
      <c r="F24" s="1044"/>
      <c r="G24" s="1044"/>
      <c r="H24" s="1044"/>
    </row>
    <row r="25" spans="1:8" ht="12.75">
      <c r="A25" s="1041"/>
      <c r="B25" s="1042"/>
      <c r="C25" s="1048"/>
      <c r="D25" s="1044"/>
      <c r="E25" s="1044"/>
      <c r="F25" s="1044"/>
      <c r="G25" s="1044"/>
      <c r="H25" s="1044"/>
    </row>
    <row r="26" spans="1:8" ht="13.5" thickBot="1">
      <c r="A26" s="1052"/>
      <c r="B26" s="1053"/>
      <c r="C26" s="1048"/>
      <c r="D26" s="1044"/>
      <c r="E26" s="1044"/>
      <c r="F26" s="1044"/>
      <c r="G26" s="1044"/>
      <c r="H26" s="1050"/>
    </row>
    <row r="27" spans="1:8" ht="13.5" thickBot="1">
      <c r="A27" s="1037"/>
      <c r="B27" s="1034"/>
      <c r="C27" s="1051" t="s">
        <v>797</v>
      </c>
      <c r="D27" s="1040">
        <f>SUM(D29:D31)</f>
        <v>0</v>
      </c>
      <c r="E27" s="1040">
        <f>SUM(E29:E31)</f>
        <v>0</v>
      </c>
      <c r="F27" s="1040">
        <f>SUM(F29:F31)</f>
        <v>0</v>
      </c>
      <c r="G27" s="1040">
        <f>SUM(G29:G31)</f>
        <v>0</v>
      </c>
      <c r="H27" s="1040">
        <f>E27-F27-G27</f>
        <v>0</v>
      </c>
    </row>
    <row r="28" spans="1:8" ht="12.75">
      <c r="A28" s="1041"/>
      <c r="B28" s="1053"/>
      <c r="C28" s="1047" t="s">
        <v>773</v>
      </c>
      <c r="D28" s="1044"/>
      <c r="E28" s="1044"/>
      <c r="F28" s="1044"/>
      <c r="G28" s="1044"/>
      <c r="H28" s="1044"/>
    </row>
    <row r="29" spans="1:8" ht="12.75">
      <c r="A29" s="1041"/>
      <c r="B29" s="1053"/>
      <c r="C29" s="1047"/>
      <c r="D29" s="1044"/>
      <c r="E29" s="1044"/>
      <c r="F29" s="1044"/>
      <c r="G29" s="1044"/>
      <c r="H29" s="1044"/>
    </row>
    <row r="30" spans="1:8" ht="12.75">
      <c r="A30" s="1052"/>
      <c r="B30" s="1053"/>
      <c r="C30" s="1048"/>
      <c r="D30" s="1044"/>
      <c r="E30" s="1044"/>
      <c r="F30" s="1044"/>
      <c r="G30" s="1044"/>
      <c r="H30" s="1044"/>
    </row>
    <row r="31" spans="1:8" ht="13.5" thickBot="1">
      <c r="A31" s="1052"/>
      <c r="B31" s="1053"/>
      <c r="C31" s="1049"/>
      <c r="D31" s="1050"/>
      <c r="E31" s="1050"/>
      <c r="F31" s="1050"/>
      <c r="G31" s="1050"/>
      <c r="H31" s="1050"/>
    </row>
    <row r="32" spans="1:8" ht="26.25" thickBot="1">
      <c r="A32" s="1054"/>
      <c r="B32" s="1034"/>
      <c r="C32" s="1055" t="s">
        <v>776</v>
      </c>
      <c r="D32" s="1050">
        <f>D15+D22+D27</f>
        <v>2155074</v>
      </c>
      <c r="E32" s="1050">
        <f>E15+E22+E27</f>
        <v>2155074</v>
      </c>
      <c r="F32" s="1050">
        <f>F15+F22+F27</f>
        <v>0</v>
      </c>
      <c r="G32" s="1050">
        <f>G15+G22+G27</f>
        <v>2155074</v>
      </c>
      <c r="H32" s="1050">
        <f>E32-F32-G32</f>
        <v>0</v>
      </c>
    </row>
    <row r="33" spans="1:8" ht="12.75">
      <c r="A33" s="1056"/>
      <c r="B33" s="1057"/>
      <c r="C33" s="1058"/>
      <c r="D33" s="1056"/>
      <c r="E33" s="1056"/>
      <c r="F33" s="1056"/>
      <c r="G33" s="1056"/>
      <c r="H33" s="1056"/>
    </row>
    <row r="34" ht="12.75">
      <c r="A34" s="1059" t="s">
        <v>777</v>
      </c>
    </row>
    <row r="35" spans="1:8" ht="13.5">
      <c r="A35" s="1060" t="s">
        <v>798</v>
      </c>
      <c r="C35" s="1059"/>
      <c r="D35" s="1024"/>
      <c r="E35" s="1024"/>
      <c r="F35" s="1024"/>
      <c r="G35" s="1024"/>
      <c r="H35" s="1024"/>
    </row>
    <row r="36" spans="1:8" ht="12.75">
      <c r="A36" s="1059" t="s">
        <v>778</v>
      </c>
      <c r="C36" s="1059"/>
      <c r="D36" s="1024"/>
      <c r="E36" s="1024"/>
      <c r="F36" s="1024"/>
      <c r="G36" s="1024"/>
      <c r="H36" s="1024"/>
    </row>
    <row r="37" spans="1:8" ht="12.75">
      <c r="A37" s="1061" t="s">
        <v>779</v>
      </c>
      <c r="C37" s="1059"/>
      <c r="D37" s="1024"/>
      <c r="E37" s="1024"/>
      <c r="F37" s="1024"/>
      <c r="G37" s="1024"/>
      <c r="H37" s="1024"/>
    </row>
    <row r="38" ht="12.75">
      <c r="A38" s="1059" t="s">
        <v>780</v>
      </c>
    </row>
    <row r="39" spans="1:3" ht="12.75">
      <c r="A39" s="1062" t="s">
        <v>781</v>
      </c>
      <c r="C39" s="1059"/>
    </row>
    <row r="40" spans="1:7" ht="12.75">
      <c r="A40" s="1061" t="s">
        <v>782</v>
      </c>
      <c r="B40" s="1024"/>
      <c r="C40" s="1061"/>
      <c r="D40" s="1024"/>
      <c r="E40" s="1024"/>
      <c r="F40" s="1024"/>
      <c r="G40" s="1024"/>
    </row>
    <row r="41" spans="1:3" ht="12.75">
      <c r="A41" s="1061" t="s">
        <v>783</v>
      </c>
      <c r="B41" s="1024"/>
      <c r="C41" s="1061"/>
    </row>
    <row r="42" spans="1:3" ht="12.75">
      <c r="A42" s="1059" t="s">
        <v>784</v>
      </c>
      <c r="C42" s="1059"/>
    </row>
    <row r="43" spans="1:3" ht="12.75">
      <c r="A43" s="1059" t="s">
        <v>785</v>
      </c>
      <c r="C43" s="1059"/>
    </row>
    <row r="44" spans="1:3" ht="12.75">
      <c r="A44" s="1063"/>
      <c r="C44" s="1059"/>
    </row>
    <row r="45" spans="1:3" ht="12.75">
      <c r="A45" s="1064" t="s">
        <v>786</v>
      </c>
      <c r="C45" s="1059"/>
    </row>
    <row r="47" spans="1:7" ht="12.75">
      <c r="A47" s="1022" t="s">
        <v>787</v>
      </c>
      <c r="C47" s="1022" t="s">
        <v>788</v>
      </c>
      <c r="F47" s="1022" t="s">
        <v>789</v>
      </c>
      <c r="G47" s="1022" t="s">
        <v>790</v>
      </c>
    </row>
    <row r="48" spans="1:7" ht="12.75">
      <c r="A48" s="1022" t="s">
        <v>791</v>
      </c>
      <c r="C48" s="1065">
        <v>40574</v>
      </c>
      <c r="F48" s="1022" t="s">
        <v>791</v>
      </c>
      <c r="G48" s="1065">
        <v>40574</v>
      </c>
    </row>
  </sheetData>
  <mergeCells count="7">
    <mergeCell ref="G2:H2"/>
    <mergeCell ref="A9:H9"/>
    <mergeCell ref="C11:G11"/>
    <mergeCell ref="A8:H8"/>
    <mergeCell ref="A7:H7"/>
    <mergeCell ref="A10:H10"/>
    <mergeCell ref="G4:H4"/>
  </mergeCells>
  <printOptions horizontalCentered="1"/>
  <pageMargins left="0.5905511811023623" right="0.5905511811023623" top="0.31496062992125984" bottom="0.6299212598425197" header="0.5118110236220472" footer="0.5118110236220472"/>
  <pageSetup horizontalDpi="300" verticalDpi="300" orientation="landscape" paperSize="9" scale="75"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dimension ref="A1:E35"/>
  <sheetViews>
    <sheetView workbookViewId="0" topLeftCell="A1">
      <selection activeCell="D35" sqref="D35"/>
    </sheetView>
  </sheetViews>
  <sheetFormatPr defaultColWidth="9.140625" defaultRowHeight="12.75"/>
  <cols>
    <col min="1" max="1" width="55.7109375" style="1067" customWidth="1"/>
    <col min="2" max="4" width="15.57421875" style="1067" customWidth="1"/>
    <col min="5" max="5" width="16.8515625" style="1067" customWidth="1"/>
    <col min="6" max="16384" width="9.140625" style="1067" customWidth="1"/>
  </cols>
  <sheetData>
    <row r="1" spans="1:5" ht="12.75">
      <c r="A1" s="1066"/>
      <c r="E1" s="1066"/>
    </row>
    <row r="2" spans="1:5" ht="12.75">
      <c r="A2" s="1068"/>
      <c r="D2" s="1069"/>
      <c r="E2" s="1070" t="s">
        <v>258</v>
      </c>
    </row>
    <row r="3" ht="12.75">
      <c r="A3" s="1071" t="s">
        <v>397</v>
      </c>
    </row>
    <row r="4" ht="12.75">
      <c r="A4" s="1071" t="s">
        <v>398</v>
      </c>
    </row>
    <row r="5" spans="1:5" ht="24.75" customHeight="1">
      <c r="A5" s="1393" t="s">
        <v>399</v>
      </c>
      <c r="B5" s="1394"/>
      <c r="C5" s="1394"/>
      <c r="D5" s="1395"/>
      <c r="E5" s="1395"/>
    </row>
    <row r="6" spans="1:3" ht="12.75">
      <c r="A6" s="1392"/>
      <c r="B6" s="1392"/>
      <c r="C6" s="1392"/>
    </row>
    <row r="7" spans="1:3" ht="12.75">
      <c r="A7" s="1392"/>
      <c r="B7" s="1392"/>
      <c r="C7" s="1392"/>
    </row>
    <row r="8" ht="13.5" thickBot="1">
      <c r="E8" s="1072" t="s">
        <v>761</v>
      </c>
    </row>
    <row r="9" spans="1:5" ht="77.25" thickBot="1">
      <c r="A9" s="1073" t="s">
        <v>764</v>
      </c>
      <c r="B9" s="1074" t="s">
        <v>259</v>
      </c>
      <c r="C9" s="1074" t="s">
        <v>260</v>
      </c>
      <c r="D9" s="1075" t="s">
        <v>261</v>
      </c>
      <c r="E9" s="1076" t="s">
        <v>262</v>
      </c>
    </row>
    <row r="10" spans="1:5" ht="13.5" thickBot="1">
      <c r="A10" s="1077" t="s">
        <v>768</v>
      </c>
      <c r="B10" s="1078">
        <v>1</v>
      </c>
      <c r="C10" s="1078">
        <v>2</v>
      </c>
      <c r="D10" s="1079" t="s">
        <v>263</v>
      </c>
      <c r="E10" s="1078">
        <v>4</v>
      </c>
    </row>
    <row r="11" spans="1:5" ht="13.5" thickBot="1">
      <c r="A11" s="1080" t="s">
        <v>264</v>
      </c>
      <c r="B11" s="1081">
        <f>SUM(B13:B23)</f>
        <v>7178342.93</v>
      </c>
      <c r="C11" s="1081">
        <f>SUM(C13:C23)</f>
        <v>7178342.93</v>
      </c>
      <c r="D11" s="1082">
        <f>SUM(D13:D23)</f>
        <v>0</v>
      </c>
      <c r="E11" s="1082">
        <f>SUM(E13:E23)</f>
        <v>0</v>
      </c>
    </row>
    <row r="12" spans="1:5" ht="12.75">
      <c r="A12" s="1083" t="s">
        <v>10</v>
      </c>
      <c r="B12" s="1084"/>
      <c r="C12" s="1084"/>
      <c r="D12" s="1085"/>
      <c r="E12" s="1084"/>
    </row>
    <row r="13" spans="1:5" ht="12.75">
      <c r="A13" s="1396" t="s">
        <v>390</v>
      </c>
      <c r="B13" s="1084"/>
      <c r="C13" s="1084"/>
      <c r="D13" s="1085"/>
      <c r="E13" s="1084"/>
    </row>
    <row r="14" spans="1:5" ht="12.75">
      <c r="A14" s="1397"/>
      <c r="B14" s="1084"/>
      <c r="C14" s="1084"/>
      <c r="D14" s="1085"/>
      <c r="E14" s="1084"/>
    </row>
    <row r="15" spans="1:5" ht="12" customHeight="1">
      <c r="A15" s="1086" t="s">
        <v>391</v>
      </c>
      <c r="B15" s="1084">
        <v>7178342.93</v>
      </c>
      <c r="C15" s="1084">
        <v>7178342.93</v>
      </c>
      <c r="D15" s="1085">
        <v>0</v>
      </c>
      <c r="E15" s="1084">
        <v>0</v>
      </c>
    </row>
    <row r="16" spans="1:5" ht="12" customHeight="1">
      <c r="A16" s="1086"/>
      <c r="B16" s="1084"/>
      <c r="C16" s="1084"/>
      <c r="D16" s="1085"/>
      <c r="E16" s="1084"/>
    </row>
    <row r="17" spans="1:5" ht="12" customHeight="1">
      <c r="A17" s="1086"/>
      <c r="B17" s="1084"/>
      <c r="C17" s="1084"/>
      <c r="D17" s="1085"/>
      <c r="E17" s="1084"/>
    </row>
    <row r="18" spans="1:5" ht="12" customHeight="1">
      <c r="A18" s="1086"/>
      <c r="B18" s="1084"/>
      <c r="C18" s="1084"/>
      <c r="D18" s="1085"/>
      <c r="E18" s="1084"/>
    </row>
    <row r="19" spans="1:5" ht="12" customHeight="1">
      <c r="A19" s="1086"/>
      <c r="B19" s="1084"/>
      <c r="C19" s="1084"/>
      <c r="D19" s="1085"/>
      <c r="E19" s="1084"/>
    </row>
    <row r="20" spans="1:5" ht="12" customHeight="1">
      <c r="A20" s="1086"/>
      <c r="B20" s="1084"/>
      <c r="C20" s="1084"/>
      <c r="D20" s="1085"/>
      <c r="E20" s="1084"/>
    </row>
    <row r="21" spans="1:5" ht="12" customHeight="1">
      <c r="A21" s="1086"/>
      <c r="B21" s="1084"/>
      <c r="C21" s="1084"/>
      <c r="D21" s="1085"/>
      <c r="E21" s="1084"/>
    </row>
    <row r="22" spans="1:5" ht="12" customHeight="1">
      <c r="A22" s="1086"/>
      <c r="B22" s="1084"/>
      <c r="C22" s="1084"/>
      <c r="D22" s="1085"/>
      <c r="E22" s="1084"/>
    </row>
    <row r="23" spans="1:5" ht="12" customHeight="1" thickBot="1">
      <c r="A23" s="1087"/>
      <c r="B23" s="1088"/>
      <c r="C23" s="1088"/>
      <c r="D23" s="1089"/>
      <c r="E23" s="1088"/>
    </row>
    <row r="24" spans="1:5" ht="12" customHeight="1">
      <c r="A24" s="1090"/>
      <c r="B24" s="1091"/>
      <c r="C24" s="1091"/>
      <c r="E24" s="1091"/>
    </row>
    <row r="25" spans="1:3" ht="12.75">
      <c r="A25" s="1092" t="s">
        <v>777</v>
      </c>
      <c r="B25" s="1093"/>
      <c r="C25" s="1093"/>
    </row>
    <row r="26" spans="1:4" ht="12.75">
      <c r="A26" s="1092" t="s">
        <v>400</v>
      </c>
      <c r="B26" s="1093"/>
      <c r="C26" s="1093"/>
      <c r="D26" s="1093"/>
    </row>
    <row r="27" spans="1:3" ht="12.75">
      <c r="A27" s="1092" t="s">
        <v>392</v>
      </c>
      <c r="B27" s="1093"/>
      <c r="C27" s="1093"/>
    </row>
    <row r="28" spans="1:3" ht="12.75">
      <c r="A28" s="1092" t="s">
        <v>393</v>
      </c>
      <c r="B28" s="1093"/>
      <c r="C28" s="1093"/>
    </row>
    <row r="29" spans="1:3" ht="12.75">
      <c r="A29" s="1092" t="s">
        <v>394</v>
      </c>
      <c r="B29" s="1093"/>
      <c r="C29" s="1093"/>
    </row>
    <row r="30" spans="1:3" ht="12.75">
      <c r="A30" s="1092" t="s">
        <v>395</v>
      </c>
      <c r="B30" s="1093"/>
      <c r="C30" s="1093"/>
    </row>
    <row r="31" spans="1:3" ht="12.75">
      <c r="A31" s="1092"/>
      <c r="B31" s="1093"/>
      <c r="C31" s="1093"/>
    </row>
    <row r="32" spans="1:3" ht="12.75">
      <c r="A32" s="1094"/>
      <c r="B32" s="1093"/>
      <c r="C32" s="1093"/>
    </row>
    <row r="33" spans="1:3" ht="12.75">
      <c r="A33" s="1095"/>
      <c r="B33" s="1093"/>
      <c r="C33" s="1093"/>
    </row>
    <row r="34" spans="1:4" ht="12.75">
      <c r="A34" s="1071" t="s">
        <v>396</v>
      </c>
      <c r="B34" s="1071"/>
      <c r="C34" s="1071" t="s">
        <v>789</v>
      </c>
      <c r="D34" s="1067" t="s">
        <v>790</v>
      </c>
    </row>
    <row r="35" spans="1:4" ht="12.75">
      <c r="A35" s="1071" t="s">
        <v>907</v>
      </c>
      <c r="B35" s="1071"/>
      <c r="C35" s="1071" t="s">
        <v>791</v>
      </c>
      <c r="D35" s="1096">
        <v>40574</v>
      </c>
    </row>
  </sheetData>
  <mergeCells count="4">
    <mergeCell ref="A6:C6"/>
    <mergeCell ref="A7:C7"/>
    <mergeCell ref="A5:E5"/>
    <mergeCell ref="A13:A14"/>
  </mergeCells>
  <printOptions horizontalCentered="1"/>
  <pageMargins left="0.5905511811023623" right="0.5905511811023623" top="0.31496062992125984" bottom="0.6299212598425197" header="0.5118110236220472" footer="0.5118110236220472"/>
  <pageSetup horizontalDpi="300" verticalDpi="300" orientation="landscape" paperSize="9" r:id="rId1"/>
  <headerFooter alignWithMargins="0">
    <oddFooter>&amp;C24</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B37" sqref="B37"/>
    </sheetView>
  </sheetViews>
  <sheetFormatPr defaultColWidth="9.140625" defaultRowHeight="12.75" outlineLevelRow="2"/>
  <cols>
    <col min="1" max="1" width="27.8515625" style="1097" customWidth="1"/>
    <col min="2" max="2" width="26.140625" style="1097" customWidth="1"/>
    <col min="3" max="3" width="13.00390625" style="1097" customWidth="1"/>
    <col min="4" max="4" width="18.8515625" style="1097" customWidth="1"/>
    <col min="5" max="5" width="10.7109375" style="1097" customWidth="1"/>
    <col min="6" max="6" width="12.140625" style="1097" customWidth="1"/>
    <col min="7" max="7" width="25.28125" style="1097" customWidth="1"/>
    <col min="8" max="16384" width="9.140625" style="1097" customWidth="1"/>
  </cols>
  <sheetData>
    <row r="1" ht="14.25">
      <c r="G1" s="1098" t="s">
        <v>401</v>
      </c>
    </row>
    <row r="3" spans="1:7" ht="15.75" thickBot="1">
      <c r="A3" s="1099" t="s">
        <v>844</v>
      </c>
      <c r="F3" s="1402" t="s">
        <v>402</v>
      </c>
      <c r="G3" s="1402"/>
    </row>
    <row r="4" spans="1:10" s="1104" customFormat="1" ht="15">
      <c r="A4" s="1100"/>
      <c r="B4" s="1099"/>
      <c r="C4" s="1097"/>
      <c r="D4" s="1100"/>
      <c r="E4" s="1101"/>
      <c r="F4" s="1102"/>
      <c r="G4" s="1103"/>
      <c r="H4" s="1100"/>
      <c r="I4" s="1100"/>
      <c r="J4" s="1100"/>
    </row>
    <row r="5" spans="1:10" s="1105" customFormat="1" ht="15" customHeight="1">
      <c r="A5" s="1401" t="s">
        <v>403</v>
      </c>
      <c r="B5" s="1401"/>
      <c r="C5" s="1401"/>
      <c r="D5" s="1401"/>
      <c r="E5" s="1401"/>
      <c r="F5" s="1401"/>
      <c r="G5" s="1401"/>
      <c r="H5" s="1100"/>
      <c r="I5" s="1100"/>
      <c r="J5" s="1100"/>
    </row>
    <row r="6" spans="1:10" s="1105" customFormat="1" ht="15" customHeight="1">
      <c r="A6" s="1401"/>
      <c r="B6" s="1401"/>
      <c r="C6" s="1401"/>
      <c r="D6" s="1401"/>
      <c r="E6" s="1401"/>
      <c r="F6" s="1401"/>
      <c r="G6" s="1401"/>
      <c r="H6" s="1100"/>
      <c r="I6" s="1100"/>
      <c r="J6" s="1100"/>
    </row>
    <row r="7" spans="1:10" s="1105" customFormat="1" ht="14.25">
      <c r="A7" s="1097"/>
      <c r="B7" s="1097"/>
      <c r="C7" s="1097"/>
      <c r="D7" s="1102"/>
      <c r="E7" s="1101"/>
      <c r="F7" s="1102"/>
      <c r="G7" s="1100"/>
      <c r="H7" s="1100"/>
      <c r="I7" s="1100"/>
      <c r="J7" s="1100"/>
    </row>
    <row r="8" spans="1:10" s="1105" customFormat="1" ht="15" thickBot="1">
      <c r="A8" s="1097"/>
      <c r="B8" s="1097"/>
      <c r="C8" s="1102"/>
      <c r="D8" s="1102"/>
      <c r="E8" s="1101"/>
      <c r="F8" s="1102"/>
      <c r="G8" s="1102" t="s">
        <v>404</v>
      </c>
      <c r="H8" s="1100"/>
      <c r="I8" s="1100"/>
      <c r="J8" s="1100"/>
    </row>
    <row r="9" spans="1:10" s="1110" customFormat="1" ht="14.25">
      <c r="A9" s="1106"/>
      <c r="B9" s="1398" t="s">
        <v>405</v>
      </c>
      <c r="C9" s="1403" t="s">
        <v>406</v>
      </c>
      <c r="D9" s="1406" t="s">
        <v>407</v>
      </c>
      <c r="E9" s="1409" t="s">
        <v>408</v>
      </c>
      <c r="F9" s="1107" t="s">
        <v>409</v>
      </c>
      <c r="G9" s="1108"/>
      <c r="H9" s="1109"/>
      <c r="I9" s="1109"/>
      <c r="J9" s="1109"/>
    </row>
    <row r="10" spans="1:10" s="1110" customFormat="1" ht="14.25">
      <c r="A10" s="1111" t="s">
        <v>410</v>
      </c>
      <c r="B10" s="1399"/>
      <c r="C10" s="1404"/>
      <c r="D10" s="1407"/>
      <c r="E10" s="1407"/>
      <c r="F10" s="1112" t="s">
        <v>411</v>
      </c>
      <c r="G10" s="1113" t="s">
        <v>412</v>
      </c>
      <c r="H10" s="1109"/>
      <c r="I10" s="1109"/>
      <c r="J10" s="1109"/>
    </row>
    <row r="11" spans="1:10" s="1110" customFormat="1" ht="15" thickBot="1">
      <c r="A11" s="1111"/>
      <c r="B11" s="1400"/>
      <c r="C11" s="1405"/>
      <c r="D11" s="1408"/>
      <c r="E11" s="1408"/>
      <c r="F11" s="1114" t="s">
        <v>413</v>
      </c>
      <c r="G11" s="1115"/>
      <c r="H11" s="1109"/>
      <c r="I11" s="1109"/>
      <c r="J11" s="1109"/>
    </row>
    <row r="12" spans="1:10" s="1110" customFormat="1" ht="15" thickBot="1">
      <c r="A12" s="1116"/>
      <c r="B12" s="1117" t="s">
        <v>414</v>
      </c>
      <c r="C12" s="1118">
        <v>2</v>
      </c>
      <c r="D12" s="1119" t="s">
        <v>415</v>
      </c>
      <c r="E12" s="1120">
        <v>5</v>
      </c>
      <c r="F12" s="1119" t="s">
        <v>416</v>
      </c>
      <c r="G12" s="1121">
        <v>7</v>
      </c>
      <c r="H12" s="1109"/>
      <c r="I12" s="1109"/>
      <c r="J12" s="1109"/>
    </row>
    <row r="13" spans="1:10" s="1109" customFormat="1" ht="16.5" customHeight="1" outlineLevel="2">
      <c r="A13" s="1122" t="s">
        <v>755</v>
      </c>
      <c r="B13" s="1123" t="s">
        <v>417</v>
      </c>
      <c r="C13" s="1124">
        <v>250000</v>
      </c>
      <c r="D13" s="1125" t="s">
        <v>418</v>
      </c>
      <c r="E13" s="1126">
        <v>2035</v>
      </c>
      <c r="F13" s="1127">
        <v>2.519</v>
      </c>
      <c r="G13" s="1128" t="s">
        <v>419</v>
      </c>
      <c r="H13" s="1097"/>
      <c r="I13" s="1097"/>
      <c r="J13" s="1097"/>
    </row>
    <row r="14" spans="1:10" s="1109" customFormat="1" ht="16.5" customHeight="1" outlineLevel="2">
      <c r="A14" s="1129"/>
      <c r="B14" s="1130"/>
      <c r="C14" s="1124"/>
      <c r="D14" s="1124"/>
      <c r="E14" s="1124"/>
      <c r="F14" s="1124"/>
      <c r="G14" s="1131"/>
      <c r="H14" s="1097"/>
      <c r="I14" s="1097"/>
      <c r="J14" s="1097"/>
    </row>
    <row r="15" spans="1:10" s="1109" customFormat="1" ht="16.5" customHeight="1" outlineLevel="2">
      <c r="A15" s="1129"/>
      <c r="B15" s="1130"/>
      <c r="C15" s="1124"/>
      <c r="D15" s="1124"/>
      <c r="E15" s="1124"/>
      <c r="F15" s="1124"/>
      <c r="G15" s="1131"/>
      <c r="H15" s="1097"/>
      <c r="I15" s="1097"/>
      <c r="J15" s="1097"/>
    </row>
    <row r="16" spans="1:10" s="1109" customFormat="1" ht="16.5" customHeight="1" outlineLevel="2">
      <c r="A16" s="1129"/>
      <c r="B16" s="1130"/>
      <c r="C16" s="1124"/>
      <c r="D16" s="1124"/>
      <c r="E16" s="1124"/>
      <c r="F16" s="1124"/>
      <c r="G16" s="1131"/>
      <c r="H16" s="1097"/>
      <c r="I16" s="1097"/>
      <c r="J16" s="1097"/>
    </row>
    <row r="17" spans="1:10" s="1109" customFormat="1" ht="16.5" customHeight="1" outlineLevel="2">
      <c r="A17" s="1129"/>
      <c r="B17" s="1130"/>
      <c r="C17" s="1124"/>
      <c r="D17" s="1124"/>
      <c r="E17" s="1124"/>
      <c r="F17" s="1124"/>
      <c r="G17" s="1131"/>
      <c r="H17" s="1097"/>
      <c r="I17" s="1097"/>
      <c r="J17" s="1097"/>
    </row>
    <row r="18" spans="1:10" s="1109" customFormat="1" ht="16.5" customHeight="1" outlineLevel="2">
      <c r="A18" s="1129"/>
      <c r="B18" s="1130"/>
      <c r="C18" s="1124"/>
      <c r="D18" s="1124"/>
      <c r="E18" s="1124"/>
      <c r="F18" s="1124"/>
      <c r="G18" s="1131"/>
      <c r="H18" s="1097"/>
      <c r="I18" s="1097"/>
      <c r="J18" s="1097"/>
    </row>
    <row r="19" spans="1:10" s="1109" customFormat="1" ht="16.5" customHeight="1" outlineLevel="2">
      <c r="A19" s="1129"/>
      <c r="B19" s="1130"/>
      <c r="C19" s="1124"/>
      <c r="D19" s="1124"/>
      <c r="E19" s="1124"/>
      <c r="F19" s="1124"/>
      <c r="G19" s="1131"/>
      <c r="H19" s="1097"/>
      <c r="I19" s="1097"/>
      <c r="J19" s="1097"/>
    </row>
    <row r="20" spans="1:10" s="1109" customFormat="1" ht="16.5" customHeight="1" outlineLevel="2">
      <c r="A20" s="1129"/>
      <c r="B20" s="1130"/>
      <c r="C20" s="1124"/>
      <c r="D20" s="1124"/>
      <c r="E20" s="1124"/>
      <c r="F20" s="1124"/>
      <c r="G20" s="1131"/>
      <c r="H20" s="1097"/>
      <c r="I20" s="1097"/>
      <c r="J20" s="1097"/>
    </row>
    <row r="21" spans="1:10" s="1109" customFormat="1" ht="16.5" customHeight="1" outlineLevel="2">
      <c r="A21" s="1129"/>
      <c r="B21" s="1130"/>
      <c r="C21" s="1124"/>
      <c r="D21" s="1124"/>
      <c r="E21" s="1124"/>
      <c r="F21" s="1124"/>
      <c r="G21" s="1131"/>
      <c r="H21" s="1097"/>
      <c r="I21" s="1097"/>
      <c r="J21" s="1097"/>
    </row>
    <row r="22" spans="1:10" s="1109" customFormat="1" ht="16.5" customHeight="1" outlineLevel="2">
      <c r="A22" s="1129"/>
      <c r="B22" s="1130"/>
      <c r="C22" s="1124"/>
      <c r="D22" s="1124"/>
      <c r="E22" s="1124"/>
      <c r="F22" s="1124"/>
      <c r="G22" s="1131"/>
      <c r="H22" s="1097"/>
      <c r="I22" s="1097"/>
      <c r="J22" s="1097"/>
    </row>
    <row r="23" spans="1:10" s="1109" customFormat="1" ht="16.5" customHeight="1" outlineLevel="2">
      <c r="A23" s="1129"/>
      <c r="B23" s="1130"/>
      <c r="C23" s="1124"/>
      <c r="D23" s="1124"/>
      <c r="E23" s="1124"/>
      <c r="F23" s="1124"/>
      <c r="G23" s="1131"/>
      <c r="H23" s="1097"/>
      <c r="I23" s="1097"/>
      <c r="J23" s="1097"/>
    </row>
    <row r="24" spans="1:10" s="1109" customFormat="1" ht="16.5" customHeight="1" outlineLevel="2">
      <c r="A24" s="1129"/>
      <c r="B24" s="1130"/>
      <c r="C24" s="1124"/>
      <c r="D24" s="1124"/>
      <c r="E24" s="1124"/>
      <c r="F24" s="1124"/>
      <c r="G24" s="1131"/>
      <c r="H24" s="1097"/>
      <c r="I24" s="1097"/>
      <c r="J24" s="1097"/>
    </row>
    <row r="25" spans="1:10" s="1109" customFormat="1" ht="16.5" customHeight="1" outlineLevel="2" thickBot="1">
      <c r="A25" s="1132"/>
      <c r="B25" s="1133"/>
      <c r="C25" s="1124"/>
      <c r="D25" s="1124"/>
      <c r="E25" s="1124"/>
      <c r="F25" s="1124"/>
      <c r="G25" s="1131"/>
      <c r="H25" s="1097"/>
      <c r="I25" s="1097"/>
      <c r="J25" s="1097"/>
    </row>
    <row r="26" spans="1:10" s="1139" customFormat="1" ht="25.5" customHeight="1" thickBot="1">
      <c r="A26" s="1134" t="s">
        <v>420</v>
      </c>
      <c r="B26" s="1135"/>
      <c r="C26" s="1136">
        <f>C13</f>
        <v>250000</v>
      </c>
      <c r="D26" s="1136"/>
      <c r="E26" s="1136"/>
      <c r="F26" s="1136"/>
      <c r="G26" s="1137"/>
      <c r="H26" s="1138"/>
      <c r="I26" s="1138"/>
      <c r="J26" s="1138"/>
    </row>
    <row r="27" ht="14.25">
      <c r="A27" s="1140" t="s">
        <v>837</v>
      </c>
    </row>
    <row r="28" spans="1:2" ht="15">
      <c r="A28" s="1138"/>
      <c r="B28" s="1138"/>
    </row>
    <row r="29" spans="1:7" ht="14.25">
      <c r="A29" s="1141" t="s">
        <v>838</v>
      </c>
      <c r="B29" s="1141"/>
      <c r="C29" s="1142" t="s">
        <v>839</v>
      </c>
      <c r="D29" s="1143" t="s">
        <v>840</v>
      </c>
      <c r="E29" s="1144">
        <v>40561</v>
      </c>
      <c r="F29" s="1142" t="s">
        <v>841</v>
      </c>
      <c r="G29" s="1141"/>
    </row>
    <row r="30" spans="1:7" ht="14.25">
      <c r="A30" s="1141" t="s">
        <v>842</v>
      </c>
      <c r="B30" s="1141"/>
      <c r="C30" s="1141" t="s">
        <v>843</v>
      </c>
      <c r="D30" s="1141"/>
      <c r="E30" s="1141"/>
      <c r="F30" s="1141"/>
      <c r="G30" s="1141"/>
    </row>
    <row r="31" spans="1:7" ht="14.25">
      <c r="A31" s="1141"/>
      <c r="B31" s="1141"/>
      <c r="C31" s="1141"/>
      <c r="D31" s="1141"/>
      <c r="E31" s="1141"/>
      <c r="F31" s="1141"/>
      <c r="G31" s="1141"/>
    </row>
    <row r="32" spans="1:7" ht="14.25">
      <c r="A32" s="1141"/>
      <c r="B32" s="1141"/>
      <c r="C32" s="1141"/>
      <c r="D32" s="1141"/>
      <c r="E32" s="1141"/>
      <c r="F32" s="1141"/>
      <c r="G32" s="1141"/>
    </row>
  </sheetData>
  <mergeCells count="6">
    <mergeCell ref="B9:B11"/>
    <mergeCell ref="A5:G6"/>
    <mergeCell ref="F3:G3"/>
    <mergeCell ref="C9:C11"/>
    <mergeCell ref="D9:D11"/>
    <mergeCell ref="E9:E1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7" r:id="rId1"/>
  <headerFooter alignWithMargins="0">
    <oddHeader>&amp;R&amp;"Arial,Tučné"příloha č. 7</oddHeader>
    <oddFooter>&amp;C25</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31"/>
  <sheetViews>
    <sheetView workbookViewId="0" topLeftCell="A1">
      <selection activeCell="F38" sqref="F38"/>
    </sheetView>
  </sheetViews>
  <sheetFormatPr defaultColWidth="9.140625" defaultRowHeight="12.75" outlineLevelRow="2"/>
  <cols>
    <col min="1" max="1" width="25.7109375" style="1145" customWidth="1"/>
    <col min="2" max="2" width="10.28125" style="1145" customWidth="1"/>
    <col min="3" max="3" width="10.7109375" style="1145" customWidth="1"/>
    <col min="4" max="4" width="10.421875" style="1145" customWidth="1"/>
    <col min="5" max="5" width="15.7109375" style="1145" customWidth="1"/>
    <col min="6" max="6" width="12.140625" style="1145" customWidth="1"/>
    <col min="7" max="7" width="21.7109375" style="1145" customWidth="1"/>
    <col min="8" max="8" width="24.421875" style="1145" customWidth="1"/>
    <col min="9" max="16384" width="9.140625" style="1145" customWidth="1"/>
  </cols>
  <sheetData>
    <row r="1" ht="14.25">
      <c r="H1" s="1146" t="s">
        <v>845</v>
      </c>
    </row>
    <row r="3" spans="1:8" ht="15.75" thickBot="1">
      <c r="A3" s="1147" t="s">
        <v>846</v>
      </c>
      <c r="B3" s="1145" t="s">
        <v>847</v>
      </c>
      <c r="G3" s="1410" t="s">
        <v>402</v>
      </c>
      <c r="H3" s="1410"/>
    </row>
    <row r="4" spans="1:11" s="1152" customFormat="1" ht="15">
      <c r="A4" s="1148"/>
      <c r="B4" s="1147"/>
      <c r="C4" s="1145"/>
      <c r="D4" s="1148"/>
      <c r="E4" s="1148"/>
      <c r="F4" s="1149"/>
      <c r="G4" s="1150"/>
      <c r="H4" s="1151"/>
      <c r="I4" s="1148"/>
      <c r="J4" s="1148"/>
      <c r="K4" s="1148"/>
    </row>
    <row r="5" spans="1:11" s="1153" customFormat="1" ht="15">
      <c r="A5" s="1413" t="s">
        <v>848</v>
      </c>
      <c r="B5" s="1413"/>
      <c r="C5" s="1413"/>
      <c r="D5" s="1413"/>
      <c r="E5" s="1413"/>
      <c r="F5" s="1413"/>
      <c r="G5" s="1413"/>
      <c r="H5" s="1413"/>
      <c r="I5" s="1148"/>
      <c r="J5" s="1148"/>
      <c r="K5" s="1148"/>
    </row>
    <row r="6" spans="1:11" s="1153" customFormat="1" ht="14.25">
      <c r="A6" s="1145"/>
      <c r="B6" s="1145"/>
      <c r="C6" s="1145"/>
      <c r="D6" s="1145"/>
      <c r="E6" s="1149"/>
      <c r="F6" s="1149"/>
      <c r="G6" s="1150"/>
      <c r="H6" s="1148"/>
      <c r="I6" s="1148"/>
      <c r="J6" s="1148"/>
      <c r="K6" s="1148"/>
    </row>
    <row r="7" spans="1:11" s="1153" customFormat="1" ht="14.25">
      <c r="A7" s="1145"/>
      <c r="B7" s="1145"/>
      <c r="C7" s="1145"/>
      <c r="D7" s="1145"/>
      <c r="E7" s="1149"/>
      <c r="F7" s="1149"/>
      <c r="G7" s="1150"/>
      <c r="H7" s="1148"/>
      <c r="I7" s="1148"/>
      <c r="J7" s="1148"/>
      <c r="K7" s="1148"/>
    </row>
    <row r="8" spans="1:11" s="1153" customFormat="1" ht="15" thickBot="1">
      <c r="A8" s="1145"/>
      <c r="B8" s="1145"/>
      <c r="C8" s="1149"/>
      <c r="D8" s="1148"/>
      <c r="E8" s="1149"/>
      <c r="F8" s="1149"/>
      <c r="G8" s="1150"/>
      <c r="H8" s="1149" t="s">
        <v>849</v>
      </c>
      <c r="I8" s="1148"/>
      <c r="J8" s="1148"/>
      <c r="K8" s="1148"/>
    </row>
    <row r="9" spans="1:11" s="1162" customFormat="1" ht="14.25">
      <c r="A9" s="1154"/>
      <c r="B9" s="1155"/>
      <c r="C9" s="1156"/>
      <c r="D9" s="1157"/>
      <c r="E9" s="1158"/>
      <c r="F9" s="1415" t="s">
        <v>850</v>
      </c>
      <c r="G9" s="1159"/>
      <c r="H9" s="1160"/>
      <c r="I9" s="1161"/>
      <c r="J9" s="1161"/>
      <c r="K9" s="1161"/>
    </row>
    <row r="10" spans="1:11" s="1162" customFormat="1" ht="14.25">
      <c r="A10" s="1163" t="s">
        <v>851</v>
      </c>
      <c r="B10" s="1164" t="s">
        <v>852</v>
      </c>
      <c r="C10" s="1165" t="s">
        <v>853</v>
      </c>
      <c r="D10" s="1166" t="s">
        <v>854</v>
      </c>
      <c r="E10" s="1167" t="s">
        <v>855</v>
      </c>
      <c r="F10" s="1416"/>
      <c r="G10" s="1168" t="s">
        <v>856</v>
      </c>
      <c r="H10" s="1169" t="s">
        <v>857</v>
      </c>
      <c r="I10" s="1161"/>
      <c r="J10" s="1161"/>
      <c r="K10" s="1161"/>
    </row>
    <row r="11" spans="1:11" s="1162" customFormat="1" ht="15" thickBot="1">
      <c r="A11" s="1163"/>
      <c r="B11" s="1164"/>
      <c r="C11" s="1170"/>
      <c r="D11" s="1171"/>
      <c r="E11" s="1172"/>
      <c r="F11" s="1417"/>
      <c r="G11" s="1173"/>
      <c r="H11" s="1174"/>
      <c r="I11" s="1161"/>
      <c r="J11" s="1161"/>
      <c r="K11" s="1161"/>
    </row>
    <row r="12" spans="1:11" s="1162" customFormat="1" ht="15" thickBot="1">
      <c r="A12" s="1175"/>
      <c r="B12" s="1154">
        <v>1</v>
      </c>
      <c r="C12" s="1176">
        <v>2</v>
      </c>
      <c r="D12" s="1177">
        <v>3</v>
      </c>
      <c r="E12" s="1178" t="s">
        <v>415</v>
      </c>
      <c r="F12" s="1179" t="s">
        <v>858</v>
      </c>
      <c r="G12" s="1180">
        <v>6</v>
      </c>
      <c r="H12" s="1181">
        <v>7</v>
      </c>
      <c r="I12" s="1161"/>
      <c r="J12" s="1161"/>
      <c r="K12" s="1161"/>
    </row>
    <row r="13" spans="1:11" s="1161" customFormat="1" ht="16.5" customHeight="1" outlineLevel="2">
      <c r="A13" s="1182" t="s">
        <v>755</v>
      </c>
      <c r="B13" s="1183">
        <v>2010</v>
      </c>
      <c r="C13" s="1173">
        <v>0</v>
      </c>
      <c r="D13" s="1173">
        <v>0</v>
      </c>
      <c r="E13" s="1173">
        <v>0</v>
      </c>
      <c r="F13" s="1173">
        <v>0</v>
      </c>
      <c r="G13" s="1173">
        <v>0</v>
      </c>
      <c r="H13" s="1174">
        <v>0</v>
      </c>
      <c r="I13" s="1145"/>
      <c r="J13" s="1145"/>
      <c r="K13" s="1145"/>
    </row>
    <row r="14" spans="1:11" s="1161" customFormat="1" ht="16.5" customHeight="1" outlineLevel="2">
      <c r="A14" s="1184"/>
      <c r="B14" s="1185"/>
      <c r="C14" s="1186"/>
      <c r="D14" s="1186"/>
      <c r="E14" s="1186"/>
      <c r="F14" s="1186"/>
      <c r="G14" s="1186"/>
      <c r="H14" s="1187"/>
      <c r="I14" s="1145"/>
      <c r="J14" s="1145"/>
      <c r="K14" s="1145"/>
    </row>
    <row r="15" spans="1:11" s="1161" customFormat="1" ht="16.5" customHeight="1" outlineLevel="2">
      <c r="A15" s="1184"/>
      <c r="B15" s="1185"/>
      <c r="C15" s="1186"/>
      <c r="D15" s="1186"/>
      <c r="E15" s="1186"/>
      <c r="F15" s="1186"/>
      <c r="G15" s="1186"/>
      <c r="H15" s="1187"/>
      <c r="I15" s="1145"/>
      <c r="J15" s="1145"/>
      <c r="K15" s="1145"/>
    </row>
    <row r="16" spans="1:11" s="1161" customFormat="1" ht="16.5" customHeight="1" outlineLevel="2">
      <c r="A16" s="1184"/>
      <c r="B16" s="1185"/>
      <c r="C16" s="1186"/>
      <c r="D16" s="1186"/>
      <c r="E16" s="1186"/>
      <c r="F16" s="1186"/>
      <c r="G16" s="1186"/>
      <c r="H16" s="1187"/>
      <c r="I16" s="1145"/>
      <c r="J16" s="1145"/>
      <c r="K16" s="1145"/>
    </row>
    <row r="17" spans="1:11" s="1161" customFormat="1" ht="16.5" customHeight="1" outlineLevel="2">
      <c r="A17" s="1184"/>
      <c r="B17" s="1185"/>
      <c r="C17" s="1186"/>
      <c r="D17" s="1186"/>
      <c r="E17" s="1186"/>
      <c r="F17" s="1186"/>
      <c r="G17" s="1186"/>
      <c r="H17" s="1187"/>
      <c r="I17" s="1145"/>
      <c r="J17" s="1145"/>
      <c r="K17" s="1145"/>
    </row>
    <row r="18" spans="1:11" s="1161" customFormat="1" ht="16.5" customHeight="1" outlineLevel="2">
      <c r="A18" s="1184"/>
      <c r="B18" s="1185"/>
      <c r="C18" s="1186"/>
      <c r="D18" s="1186"/>
      <c r="E18" s="1188"/>
      <c r="F18" s="1186"/>
      <c r="G18" s="1186"/>
      <c r="H18" s="1187"/>
      <c r="I18" s="1145"/>
      <c r="J18" s="1145"/>
      <c r="K18" s="1145"/>
    </row>
    <row r="19" spans="1:11" s="1161" customFormat="1" ht="16.5" customHeight="1" outlineLevel="2">
      <c r="A19" s="1184"/>
      <c r="B19" s="1185"/>
      <c r="C19" s="1186"/>
      <c r="D19" s="1186"/>
      <c r="E19" s="1186"/>
      <c r="F19" s="1186"/>
      <c r="G19" s="1186"/>
      <c r="H19" s="1187"/>
      <c r="I19" s="1145"/>
      <c r="J19" s="1145"/>
      <c r="K19" s="1145"/>
    </row>
    <row r="20" spans="1:11" s="1161" customFormat="1" ht="16.5" customHeight="1" outlineLevel="2">
      <c r="A20" s="1184"/>
      <c r="B20" s="1185"/>
      <c r="C20" s="1186"/>
      <c r="D20" s="1186"/>
      <c r="E20" s="1186"/>
      <c r="F20" s="1186"/>
      <c r="G20" s="1186"/>
      <c r="H20" s="1187"/>
      <c r="I20" s="1145"/>
      <c r="J20" s="1145"/>
      <c r="K20" s="1145"/>
    </row>
    <row r="21" spans="1:11" s="1161" customFormat="1" ht="16.5" customHeight="1" outlineLevel="2">
      <c r="A21" s="1184"/>
      <c r="B21" s="1185"/>
      <c r="C21" s="1186"/>
      <c r="D21" s="1186"/>
      <c r="E21" s="1186"/>
      <c r="F21" s="1186"/>
      <c r="G21" s="1186"/>
      <c r="H21" s="1187"/>
      <c r="I21" s="1145"/>
      <c r="J21" s="1145"/>
      <c r="K21" s="1145"/>
    </row>
    <row r="22" spans="1:11" s="1161" customFormat="1" ht="16.5" customHeight="1" outlineLevel="2">
      <c r="A22" s="1184"/>
      <c r="B22" s="1185"/>
      <c r="C22" s="1186"/>
      <c r="D22" s="1186"/>
      <c r="E22" s="1186"/>
      <c r="F22" s="1186"/>
      <c r="G22" s="1186"/>
      <c r="H22" s="1187"/>
      <c r="I22" s="1145"/>
      <c r="J22" s="1145"/>
      <c r="K22" s="1145"/>
    </row>
    <row r="23" spans="1:11" s="1161" customFormat="1" ht="16.5" customHeight="1" outlineLevel="2">
      <c r="A23" s="1184"/>
      <c r="B23" s="1185"/>
      <c r="C23" s="1186"/>
      <c r="D23" s="1186"/>
      <c r="E23" s="1186"/>
      <c r="F23" s="1186"/>
      <c r="G23" s="1186"/>
      <c r="H23" s="1187"/>
      <c r="I23" s="1145"/>
      <c r="J23" s="1145"/>
      <c r="K23" s="1145"/>
    </row>
    <row r="24" spans="1:11" s="1161" customFormat="1" ht="16.5" customHeight="1" outlineLevel="2">
      <c r="A24" s="1184"/>
      <c r="B24" s="1185"/>
      <c r="C24" s="1186"/>
      <c r="D24" s="1186"/>
      <c r="E24" s="1186"/>
      <c r="F24" s="1186"/>
      <c r="G24" s="1186"/>
      <c r="H24" s="1187"/>
      <c r="I24" s="1145"/>
      <c r="J24" s="1145"/>
      <c r="K24" s="1145"/>
    </row>
    <row r="25" spans="1:11" s="1161" customFormat="1" ht="16.5" customHeight="1" outlineLevel="2" thickBot="1">
      <c r="A25" s="1189"/>
      <c r="B25" s="1190"/>
      <c r="C25" s="1186"/>
      <c r="D25" s="1186"/>
      <c r="E25" s="1186"/>
      <c r="F25" s="1186"/>
      <c r="G25" s="1186"/>
      <c r="H25" s="1187"/>
      <c r="I25" s="1145"/>
      <c r="J25" s="1145"/>
      <c r="K25" s="1145"/>
    </row>
    <row r="26" spans="1:11" s="1197" customFormat="1" ht="25.5" customHeight="1" thickBot="1">
      <c r="A26" s="1191" t="s">
        <v>859</v>
      </c>
      <c r="B26" s="1192"/>
      <c r="C26" s="1193">
        <v>0</v>
      </c>
      <c r="D26" s="1194">
        <v>0</v>
      </c>
      <c r="E26" s="1194">
        <v>0</v>
      </c>
      <c r="F26" s="1194">
        <v>0</v>
      </c>
      <c r="G26" s="1194">
        <v>0</v>
      </c>
      <c r="H26" s="1195">
        <v>0</v>
      </c>
      <c r="I26" s="1196"/>
      <c r="J26" s="1196"/>
      <c r="K26" s="1196"/>
    </row>
    <row r="28" spans="1:2" ht="15">
      <c r="A28" s="1196"/>
      <c r="B28" s="1196"/>
    </row>
    <row r="29" spans="1:8" ht="14.25">
      <c r="A29" s="1145" t="s">
        <v>860</v>
      </c>
      <c r="C29" s="1198" t="s">
        <v>839</v>
      </c>
      <c r="F29" s="1145" t="s">
        <v>840</v>
      </c>
      <c r="G29" s="1414" t="s">
        <v>841</v>
      </c>
      <c r="H29" s="1414"/>
    </row>
    <row r="30" spans="1:6" ht="14.25">
      <c r="A30" s="1145" t="s">
        <v>861</v>
      </c>
      <c r="C30" s="1145" t="s">
        <v>790</v>
      </c>
      <c r="F30" s="1199">
        <v>40561</v>
      </c>
    </row>
    <row r="31" spans="1:6" ht="14.25">
      <c r="A31" s="1200">
        <v>585513255</v>
      </c>
      <c r="C31" s="1411">
        <v>585513315</v>
      </c>
      <c r="D31" s="1412"/>
      <c r="F31" s="1201"/>
    </row>
  </sheetData>
  <mergeCells count="5">
    <mergeCell ref="G3:H3"/>
    <mergeCell ref="C31:D31"/>
    <mergeCell ref="A5:H5"/>
    <mergeCell ref="G29:H29"/>
    <mergeCell ref="F9:F1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7" r:id="rId1"/>
  <headerFooter alignWithMargins="0">
    <oddFooter>&amp;C26</oddFooter>
  </headerFooter>
</worksheet>
</file>

<file path=xl/worksheets/sheet24.xml><?xml version="1.0" encoding="utf-8"?>
<worksheet xmlns="http://schemas.openxmlformats.org/spreadsheetml/2006/main" xmlns:r="http://schemas.openxmlformats.org/officeDocument/2006/relationships">
  <sheetPr>
    <tabColor indexed="42"/>
  </sheetPr>
  <dimension ref="A1:AA97"/>
  <sheetViews>
    <sheetView zoomScaleSheetLayoutView="100" workbookViewId="0" topLeftCell="A1">
      <pane xSplit="6" ySplit="1" topLeftCell="H11" activePane="bottomRight" state="frozen"/>
      <selection pane="topLeft" activeCell="A1" sqref="A1"/>
      <selection pane="topRight" activeCell="C1" sqref="C1"/>
      <selection pane="bottomLeft" activeCell="A3" sqref="A3"/>
      <selection pane="bottomRight" activeCell="T19" sqref="T19"/>
    </sheetView>
  </sheetViews>
  <sheetFormatPr defaultColWidth="9.140625" defaultRowHeight="12.75" outlineLevelCol="1"/>
  <cols>
    <col min="1" max="1" width="7.7109375" style="153" hidden="1" customWidth="1"/>
    <col min="2" max="2" width="6.57421875" style="153" customWidth="1"/>
    <col min="3" max="3" width="6.00390625" style="153" customWidth="1"/>
    <col min="4" max="4" width="6.28125" style="153" customWidth="1"/>
    <col min="5" max="5" width="4.00390625" style="153" customWidth="1"/>
    <col min="6" max="6" width="65.28125" style="154" customWidth="1"/>
    <col min="7" max="7" width="4.28125" style="156" hidden="1" customWidth="1"/>
    <col min="8" max="8" width="13.421875" style="156" customWidth="1"/>
    <col min="9" max="14" width="13.421875" style="156" hidden="1" customWidth="1" outlineLevel="1"/>
    <col min="15" max="15" width="13.421875" style="156" hidden="1" customWidth="1" collapsed="1"/>
    <col min="16" max="16" width="13.421875" style="156" hidden="1" customWidth="1"/>
    <col min="17" max="17" width="13.421875" style="156" customWidth="1"/>
    <col min="18" max="18" width="15.140625" style="156" customWidth="1"/>
    <col min="19" max="19" width="8.57421875" style="156" customWidth="1"/>
    <col min="20" max="20" width="37.00390625" style="91" customWidth="1"/>
    <col min="21" max="21" width="22.140625" style="92" customWidth="1"/>
    <col min="22" max="22" width="15.00390625" style="0" customWidth="1"/>
    <col min="23" max="23" width="8.7109375" style="0" customWidth="1"/>
  </cols>
  <sheetData>
    <row r="1" spans="1:20" s="85" customFormat="1" ht="42.75" customHeight="1" thickBot="1">
      <c r="A1" s="82" t="s">
        <v>129</v>
      </c>
      <c r="B1" s="82" t="s">
        <v>129</v>
      </c>
      <c r="C1" s="82" t="s">
        <v>926</v>
      </c>
      <c r="D1" s="82" t="s">
        <v>927</v>
      </c>
      <c r="E1" s="82"/>
      <c r="F1" s="82" t="s">
        <v>928</v>
      </c>
      <c r="G1" s="83" t="s">
        <v>929</v>
      </c>
      <c r="H1" s="83" t="s">
        <v>930</v>
      </c>
      <c r="I1" s="84" t="s">
        <v>931</v>
      </c>
      <c r="J1" s="84" t="s">
        <v>932</v>
      </c>
      <c r="K1" s="84" t="s">
        <v>933</v>
      </c>
      <c r="L1" s="84" t="s">
        <v>270</v>
      </c>
      <c r="M1" s="84" t="s">
        <v>271</v>
      </c>
      <c r="N1" s="84" t="s">
        <v>272</v>
      </c>
      <c r="O1" s="83" t="s">
        <v>273</v>
      </c>
      <c r="P1" s="83" t="s">
        <v>274</v>
      </c>
      <c r="Q1" s="83" t="s">
        <v>867</v>
      </c>
      <c r="R1" s="83" t="s">
        <v>868</v>
      </c>
      <c r="S1" s="83" t="s">
        <v>914</v>
      </c>
      <c r="T1" s="82" t="s">
        <v>180</v>
      </c>
    </row>
    <row r="2" spans="1:27" ht="30.75" customHeight="1">
      <c r="A2" s="86" t="s">
        <v>132</v>
      </c>
      <c r="B2" s="86" t="s">
        <v>133</v>
      </c>
      <c r="C2" s="87"/>
      <c r="D2" s="87"/>
      <c r="E2" s="87"/>
      <c r="F2" s="88"/>
      <c r="G2" s="89"/>
      <c r="H2" s="90"/>
      <c r="I2" s="90"/>
      <c r="J2" s="90"/>
      <c r="K2" s="90"/>
      <c r="L2" s="90"/>
      <c r="M2" s="90"/>
      <c r="N2" s="90"/>
      <c r="O2" s="90"/>
      <c r="P2" s="90"/>
      <c r="Q2" s="90"/>
      <c r="R2" s="90"/>
      <c r="S2" s="90"/>
      <c r="V2" s="93"/>
      <c r="W2" s="93"/>
      <c r="X2" s="93"/>
      <c r="Y2" s="93"/>
      <c r="Z2" s="93"/>
      <c r="AA2" s="93"/>
    </row>
    <row r="3" spans="1:27" ht="15" customHeight="1">
      <c r="A3" s="86"/>
      <c r="B3" s="94">
        <v>15068</v>
      </c>
      <c r="C3" s="94">
        <v>4374</v>
      </c>
      <c r="D3" s="94">
        <v>6121</v>
      </c>
      <c r="E3" s="99">
        <v>1</v>
      </c>
      <c r="F3" s="95" t="s">
        <v>134</v>
      </c>
      <c r="G3" s="96"/>
      <c r="H3" s="96">
        <v>0</v>
      </c>
      <c r="I3" s="96"/>
      <c r="J3" s="96"/>
      <c r="K3" s="96"/>
      <c r="L3" s="96"/>
      <c r="M3" s="96"/>
      <c r="N3" s="96"/>
      <c r="O3" s="96"/>
      <c r="P3" s="96"/>
      <c r="Q3" s="97">
        <v>2780000</v>
      </c>
      <c r="R3" s="97">
        <v>2199364.16</v>
      </c>
      <c r="S3" s="104">
        <f>R3/Q3*100</f>
        <v>79.11381870503598</v>
      </c>
      <c r="T3" s="98" t="s">
        <v>135</v>
      </c>
      <c r="V3" s="93"/>
      <c r="W3" s="93"/>
      <c r="X3" s="93"/>
      <c r="Y3" s="93"/>
      <c r="Z3" s="93"/>
      <c r="AA3" s="93"/>
    </row>
    <row r="4" spans="1:27" ht="15" customHeight="1">
      <c r="A4" s="99">
        <v>4766</v>
      </c>
      <c r="B4" s="100">
        <f>A4+10000</f>
        <v>14766</v>
      </c>
      <c r="C4" s="99">
        <v>2212</v>
      </c>
      <c r="D4" s="99">
        <v>6121</v>
      </c>
      <c r="E4" s="101">
        <v>2</v>
      </c>
      <c r="F4" s="102" t="s">
        <v>136</v>
      </c>
      <c r="G4" s="103">
        <v>3</v>
      </c>
      <c r="H4" s="104">
        <f>G4*1000000</f>
        <v>3000000</v>
      </c>
      <c r="I4" s="104"/>
      <c r="J4" s="104"/>
      <c r="K4" s="104"/>
      <c r="L4" s="104"/>
      <c r="M4" s="104"/>
      <c r="N4" s="104"/>
      <c r="O4" s="104">
        <f>H4+I4+J4+K4+L4+M4+N4</f>
        <v>3000000</v>
      </c>
      <c r="P4" s="104"/>
      <c r="Q4" s="104">
        <v>881000</v>
      </c>
      <c r="R4" s="104">
        <v>880646</v>
      </c>
      <c r="S4" s="104">
        <f>R4/Q4*100</f>
        <v>99.95981838819523</v>
      </c>
      <c r="T4" s="105" t="s">
        <v>135</v>
      </c>
      <c r="W4" s="93"/>
      <c r="X4" s="93"/>
      <c r="Y4" s="93"/>
      <c r="Z4" s="93"/>
      <c r="AA4" s="93"/>
    </row>
    <row r="5" spans="1:27" ht="15" customHeight="1">
      <c r="A5" s="99"/>
      <c r="B5" s="100">
        <v>14766</v>
      </c>
      <c r="C5" s="99">
        <v>2212</v>
      </c>
      <c r="D5" s="99">
        <v>6121</v>
      </c>
      <c r="E5" s="99">
        <v>3</v>
      </c>
      <c r="F5" s="102" t="s">
        <v>136</v>
      </c>
      <c r="G5" s="103"/>
      <c r="H5" s="104">
        <v>0</v>
      </c>
      <c r="I5" s="104"/>
      <c r="J5" s="104"/>
      <c r="K5" s="104"/>
      <c r="L5" s="104"/>
      <c r="M5" s="104"/>
      <c r="N5" s="104"/>
      <c r="O5" s="104"/>
      <c r="P5" s="104"/>
      <c r="Q5" s="104">
        <v>2009000</v>
      </c>
      <c r="R5" s="104">
        <v>2009000</v>
      </c>
      <c r="S5" s="104">
        <f>R5/Q5*100</f>
        <v>100</v>
      </c>
      <c r="T5" s="127" t="s">
        <v>201</v>
      </c>
      <c r="W5" s="93"/>
      <c r="X5" s="93"/>
      <c r="Y5" s="93"/>
      <c r="Z5" s="93"/>
      <c r="AA5" s="93"/>
    </row>
    <row r="6" spans="1:27" ht="15" customHeight="1">
      <c r="A6" s="99"/>
      <c r="B6" s="100">
        <v>15125</v>
      </c>
      <c r="C6" s="99">
        <v>3421</v>
      </c>
      <c r="D6" s="99">
        <v>6121</v>
      </c>
      <c r="E6" s="101">
        <v>4</v>
      </c>
      <c r="F6" s="102" t="s">
        <v>137</v>
      </c>
      <c r="G6" s="103"/>
      <c r="H6" s="104">
        <v>0</v>
      </c>
      <c r="I6" s="104"/>
      <c r="J6" s="104"/>
      <c r="K6" s="104"/>
      <c r="L6" s="104"/>
      <c r="M6" s="104"/>
      <c r="N6" s="104"/>
      <c r="O6" s="104"/>
      <c r="P6" s="104"/>
      <c r="Q6" s="104">
        <v>586500</v>
      </c>
      <c r="R6" s="104">
        <v>586144</v>
      </c>
      <c r="S6" s="104">
        <f>R6/Q6*100</f>
        <v>99.9393009377664</v>
      </c>
      <c r="T6" s="105" t="s">
        <v>135</v>
      </c>
      <c r="W6" s="93"/>
      <c r="X6" s="93"/>
      <c r="Y6" s="93"/>
      <c r="Z6" s="93"/>
      <c r="AA6" s="93"/>
    </row>
    <row r="7" spans="1:27" ht="15" customHeight="1">
      <c r="A7" s="99"/>
      <c r="B7" s="100">
        <v>15126</v>
      </c>
      <c r="C7" s="99">
        <v>3421</v>
      </c>
      <c r="D7" s="99">
        <v>6121</v>
      </c>
      <c r="E7" s="99">
        <v>5</v>
      </c>
      <c r="F7" s="102" t="s">
        <v>138</v>
      </c>
      <c r="G7" s="103"/>
      <c r="H7" s="104">
        <v>0</v>
      </c>
      <c r="I7" s="104"/>
      <c r="J7" s="104"/>
      <c r="K7" s="104"/>
      <c r="L7" s="104"/>
      <c r="M7" s="104"/>
      <c r="N7" s="104"/>
      <c r="O7" s="104"/>
      <c r="P7" s="104"/>
      <c r="Q7" s="104">
        <v>164000</v>
      </c>
      <c r="R7" s="104">
        <v>163784.4</v>
      </c>
      <c r="S7" s="104">
        <f>R7/Q7*100</f>
        <v>99.86853658536586</v>
      </c>
      <c r="T7" s="105" t="s">
        <v>135</v>
      </c>
      <c r="W7" s="93"/>
      <c r="X7" s="93"/>
      <c r="Y7" s="93"/>
      <c r="Z7" s="93"/>
      <c r="AA7" s="93"/>
    </row>
    <row r="8" spans="1:27" ht="15" customHeight="1">
      <c r="A8" s="99"/>
      <c r="B8" s="100">
        <v>10582</v>
      </c>
      <c r="C8" s="99">
        <v>2219</v>
      </c>
      <c r="D8" s="99">
        <v>6121</v>
      </c>
      <c r="E8" s="101">
        <v>6</v>
      </c>
      <c r="F8" s="102" t="s">
        <v>139</v>
      </c>
      <c r="G8" s="103"/>
      <c r="H8" s="104">
        <v>0</v>
      </c>
      <c r="I8" s="104"/>
      <c r="J8" s="104"/>
      <c r="K8" s="104"/>
      <c r="L8" s="104"/>
      <c r="M8" s="104"/>
      <c r="N8" s="104"/>
      <c r="O8" s="104">
        <v>0</v>
      </c>
      <c r="P8" s="104">
        <v>15000</v>
      </c>
      <c r="Q8" s="104">
        <v>1295500</v>
      </c>
      <c r="R8" s="104">
        <v>1295016</v>
      </c>
      <c r="S8" s="104">
        <f aca="true" t="shared" si="0" ref="S8:S18">R8/Q8*100</f>
        <v>99.96263990737168</v>
      </c>
      <c r="T8" s="105" t="s">
        <v>135</v>
      </c>
      <c r="W8" s="93"/>
      <c r="X8" s="93"/>
      <c r="Y8" s="93"/>
      <c r="Z8" s="93"/>
      <c r="AA8" s="93"/>
    </row>
    <row r="9" spans="1:27" ht="15" customHeight="1">
      <c r="A9" s="99"/>
      <c r="B9" s="100">
        <v>14996</v>
      </c>
      <c r="C9" s="99">
        <v>6171</v>
      </c>
      <c r="D9" s="99">
        <v>6121</v>
      </c>
      <c r="E9" s="99">
        <v>7</v>
      </c>
      <c r="F9" s="102" t="s">
        <v>91</v>
      </c>
      <c r="G9" s="103"/>
      <c r="H9" s="104">
        <v>0</v>
      </c>
      <c r="I9" s="104"/>
      <c r="J9" s="104"/>
      <c r="K9" s="104"/>
      <c r="L9" s="104"/>
      <c r="M9" s="104"/>
      <c r="N9" s="104"/>
      <c r="O9" s="104"/>
      <c r="P9" s="104"/>
      <c r="Q9" s="104">
        <v>1000</v>
      </c>
      <c r="R9" s="104">
        <v>0</v>
      </c>
      <c r="S9" s="104">
        <v>0</v>
      </c>
      <c r="T9" s="105" t="s">
        <v>135</v>
      </c>
      <c r="W9" s="93"/>
      <c r="X9" s="93"/>
      <c r="Y9" s="93"/>
      <c r="Z9" s="93"/>
      <c r="AA9" s="93"/>
    </row>
    <row r="10" spans="1:27" ht="15" customHeight="1">
      <c r="A10" s="106">
        <v>4663</v>
      </c>
      <c r="B10" s="100">
        <f>A10+10000</f>
        <v>14663</v>
      </c>
      <c r="C10" s="106">
        <v>5512</v>
      </c>
      <c r="D10" s="106">
        <v>6121</v>
      </c>
      <c r="E10" s="101">
        <v>8</v>
      </c>
      <c r="F10" s="107" t="s">
        <v>140</v>
      </c>
      <c r="G10" s="108">
        <v>14</v>
      </c>
      <c r="H10" s="104">
        <f>G10*1000000</f>
        <v>14000000</v>
      </c>
      <c r="I10" s="104"/>
      <c r="J10" s="104"/>
      <c r="K10" s="104"/>
      <c r="L10" s="104"/>
      <c r="M10" s="104"/>
      <c r="N10" s="104"/>
      <c r="O10" s="104">
        <f>H10+I10+J10+K10+L10+M10+N10</f>
        <v>14000000</v>
      </c>
      <c r="P10" s="104"/>
      <c r="Q10" s="104">
        <f>14000000+200000</f>
        <v>14200000</v>
      </c>
      <c r="R10" s="104">
        <v>14200000</v>
      </c>
      <c r="S10" s="104">
        <f t="shared" si="0"/>
        <v>100</v>
      </c>
      <c r="T10" s="109" t="s">
        <v>135</v>
      </c>
      <c r="U10" s="110"/>
      <c r="W10" s="93"/>
      <c r="X10" s="93"/>
      <c r="Y10" s="93"/>
      <c r="Z10" s="93"/>
      <c r="AA10" s="93"/>
    </row>
    <row r="11" spans="1:27" s="114" customFormat="1" ht="15" customHeight="1">
      <c r="A11" s="99"/>
      <c r="B11" s="100">
        <v>14642</v>
      </c>
      <c r="C11" s="99">
        <v>3632</v>
      </c>
      <c r="D11" s="99">
        <v>6121</v>
      </c>
      <c r="E11" s="99">
        <v>9</v>
      </c>
      <c r="F11" s="111" t="s">
        <v>956</v>
      </c>
      <c r="G11" s="112">
        <v>2.3</v>
      </c>
      <c r="H11" s="104">
        <f>G11*1000000</f>
        <v>2300000</v>
      </c>
      <c r="I11" s="104"/>
      <c r="J11" s="104"/>
      <c r="K11" s="104"/>
      <c r="L11" s="104"/>
      <c r="M11" s="104"/>
      <c r="N11" s="104"/>
      <c r="O11" s="104">
        <f>H11+I11+J11+K11+L11+M11+N11</f>
        <v>2300000</v>
      </c>
      <c r="P11" s="104"/>
      <c r="Q11" s="104">
        <v>460000</v>
      </c>
      <c r="R11" s="104">
        <v>459330.9</v>
      </c>
      <c r="S11" s="104">
        <f t="shared" si="0"/>
        <v>99.85454347826087</v>
      </c>
      <c r="T11" s="113" t="s">
        <v>135</v>
      </c>
      <c r="U11" s="92"/>
      <c r="W11" s="92"/>
      <c r="X11" s="92"/>
      <c r="Y11" s="92"/>
      <c r="Z11" s="92"/>
      <c r="AA11" s="92"/>
    </row>
    <row r="12" spans="1:27" ht="15" customHeight="1">
      <c r="A12" s="106">
        <v>4887</v>
      </c>
      <c r="B12" s="100">
        <f>A12+10000</f>
        <v>14887</v>
      </c>
      <c r="C12" s="106">
        <v>2212</v>
      </c>
      <c r="D12" s="106">
        <v>6121</v>
      </c>
      <c r="E12" s="101">
        <v>10</v>
      </c>
      <c r="F12" s="115" t="s">
        <v>957</v>
      </c>
      <c r="G12" s="108">
        <v>10</v>
      </c>
      <c r="H12" s="104">
        <f>G12*1000000</f>
        <v>10000000</v>
      </c>
      <c r="I12" s="104"/>
      <c r="J12" s="104"/>
      <c r="K12" s="104"/>
      <c r="L12" s="104"/>
      <c r="M12" s="104"/>
      <c r="N12" s="104"/>
      <c r="O12" s="104">
        <f>H12+I12+J12+K12+L12+M12+N12</f>
        <v>10000000</v>
      </c>
      <c r="P12" s="104">
        <v>2600000</v>
      </c>
      <c r="Q12" s="104">
        <v>12510000</v>
      </c>
      <c r="R12" s="104">
        <v>12403651.94</v>
      </c>
      <c r="S12" s="104">
        <f t="shared" si="0"/>
        <v>99.14989560351718</v>
      </c>
      <c r="T12" s="109" t="s">
        <v>135</v>
      </c>
      <c r="U12" s="116"/>
      <c r="W12" s="93"/>
      <c r="X12" s="93"/>
      <c r="Y12" s="93"/>
      <c r="Z12" s="93"/>
      <c r="AA12" s="93"/>
    </row>
    <row r="13" spans="1:27" s="114" customFormat="1" ht="15" customHeight="1">
      <c r="A13" s="106">
        <v>4957</v>
      </c>
      <c r="B13" s="100">
        <f>A13+10000</f>
        <v>14957</v>
      </c>
      <c r="C13" s="99">
        <v>3421</v>
      </c>
      <c r="D13" s="99">
        <v>6121</v>
      </c>
      <c r="E13" s="99">
        <v>11</v>
      </c>
      <c r="F13" s="102" t="s">
        <v>958</v>
      </c>
      <c r="G13" s="117">
        <v>3</v>
      </c>
      <c r="H13" s="104">
        <f>G13*1000000</f>
        <v>3000000</v>
      </c>
      <c r="I13" s="104"/>
      <c r="J13" s="104"/>
      <c r="K13" s="104"/>
      <c r="L13" s="104"/>
      <c r="M13" s="104"/>
      <c r="N13" s="104">
        <v>800000</v>
      </c>
      <c r="O13" s="104">
        <f>H13+I13+J13+K13+L13+M13+N13</f>
        <v>3800000</v>
      </c>
      <c r="P13" s="104"/>
      <c r="Q13" s="104">
        <v>2000</v>
      </c>
      <c r="R13" s="104">
        <v>1744</v>
      </c>
      <c r="S13" s="104">
        <f t="shared" si="0"/>
        <v>87.2</v>
      </c>
      <c r="T13" s="113" t="s">
        <v>135</v>
      </c>
      <c r="U13" s="92"/>
      <c r="W13" s="92"/>
      <c r="X13" s="92"/>
      <c r="Y13" s="92"/>
      <c r="Z13" s="92"/>
      <c r="AA13" s="92"/>
    </row>
    <row r="14" spans="1:27" s="114" customFormat="1" ht="15" customHeight="1">
      <c r="A14" s="106"/>
      <c r="B14" s="100">
        <v>14357</v>
      </c>
      <c r="C14" s="99">
        <v>2219</v>
      </c>
      <c r="D14" s="99">
        <v>6121</v>
      </c>
      <c r="E14" s="101">
        <v>12</v>
      </c>
      <c r="F14" s="102" t="s">
        <v>959</v>
      </c>
      <c r="G14" s="117"/>
      <c r="H14" s="104">
        <v>0</v>
      </c>
      <c r="I14" s="104"/>
      <c r="J14" s="104"/>
      <c r="K14" s="104">
        <v>700000</v>
      </c>
      <c r="L14" s="104"/>
      <c r="M14" s="104"/>
      <c r="N14" s="104"/>
      <c r="O14" s="104">
        <f>H14+I14+J14+K14+L14+M14+N14</f>
        <v>700000</v>
      </c>
      <c r="P14" s="104">
        <v>-453000</v>
      </c>
      <c r="Q14" s="104">
        <v>247000</v>
      </c>
      <c r="R14" s="104">
        <v>246280</v>
      </c>
      <c r="S14" s="104">
        <f t="shared" si="0"/>
        <v>99.7085020242915</v>
      </c>
      <c r="T14" s="113" t="s">
        <v>135</v>
      </c>
      <c r="U14" s="92"/>
      <c r="W14" s="92"/>
      <c r="X14" s="92"/>
      <c r="Y14" s="92"/>
      <c r="Z14" s="92"/>
      <c r="AA14" s="92"/>
    </row>
    <row r="15" spans="1:26" ht="15" customHeight="1">
      <c r="A15" s="99">
        <v>5006</v>
      </c>
      <c r="B15" s="118">
        <v>15006</v>
      </c>
      <c r="C15" s="99">
        <v>2212</v>
      </c>
      <c r="D15" s="99">
        <v>6121</v>
      </c>
      <c r="E15" s="99">
        <v>13</v>
      </c>
      <c r="F15" s="119" t="s">
        <v>960</v>
      </c>
      <c r="G15" s="103">
        <v>0.1</v>
      </c>
      <c r="H15" s="120">
        <v>0</v>
      </c>
      <c r="I15" s="120"/>
      <c r="J15" s="120"/>
      <c r="K15" s="120"/>
      <c r="L15" s="120"/>
      <c r="M15" s="120"/>
      <c r="N15" s="120">
        <f>H15+I15+J15+K15+L15+M15</f>
        <v>0</v>
      </c>
      <c r="O15" s="120"/>
      <c r="P15" s="120">
        <f>N15+O15</f>
        <v>0</v>
      </c>
      <c r="Q15" s="120">
        <v>1323000</v>
      </c>
      <c r="R15" s="120">
        <v>1253193.6</v>
      </c>
      <c r="S15" s="104">
        <f t="shared" si="0"/>
        <v>94.72362811791383</v>
      </c>
      <c r="T15" s="113" t="s">
        <v>135</v>
      </c>
      <c r="U15" s="93"/>
      <c r="V15" s="93"/>
      <c r="W15" s="93"/>
      <c r="X15" s="93"/>
      <c r="Y15" s="93"/>
      <c r="Z15" s="93"/>
    </row>
    <row r="16" spans="1:26" ht="15" customHeight="1">
      <c r="A16" s="99"/>
      <c r="B16" s="121">
        <v>14995</v>
      </c>
      <c r="C16" s="99">
        <v>3113</v>
      </c>
      <c r="D16" s="99">
        <v>6121</v>
      </c>
      <c r="E16" s="101">
        <v>14</v>
      </c>
      <c r="F16" s="111" t="s">
        <v>864</v>
      </c>
      <c r="G16" s="103"/>
      <c r="H16" s="120">
        <v>0</v>
      </c>
      <c r="I16" s="120"/>
      <c r="J16" s="120"/>
      <c r="K16" s="120"/>
      <c r="L16" s="120"/>
      <c r="M16" s="120"/>
      <c r="N16" s="120"/>
      <c r="O16" s="120"/>
      <c r="P16" s="120"/>
      <c r="Q16" s="120">
        <v>1000</v>
      </c>
      <c r="R16" s="120">
        <v>0</v>
      </c>
      <c r="S16" s="104">
        <v>0</v>
      </c>
      <c r="T16" s="113" t="s">
        <v>135</v>
      </c>
      <c r="U16" s="93"/>
      <c r="V16" s="93"/>
      <c r="W16" s="93"/>
      <c r="X16" s="93"/>
      <c r="Y16" s="93"/>
      <c r="Z16" s="93"/>
    </row>
    <row r="17" spans="1:26" ht="15" customHeight="1">
      <c r="A17" s="99"/>
      <c r="B17" s="121">
        <v>15091</v>
      </c>
      <c r="C17" s="99">
        <v>2212</v>
      </c>
      <c r="D17" s="99">
        <v>6121</v>
      </c>
      <c r="E17" s="99">
        <v>15</v>
      </c>
      <c r="F17" s="111" t="s">
        <v>961</v>
      </c>
      <c r="G17" s="103"/>
      <c r="H17" s="120">
        <v>0</v>
      </c>
      <c r="I17" s="120"/>
      <c r="J17" s="120"/>
      <c r="K17" s="120"/>
      <c r="L17" s="120"/>
      <c r="M17" s="120"/>
      <c r="N17" s="120"/>
      <c r="O17" s="120"/>
      <c r="P17" s="120"/>
      <c r="Q17" s="120">
        <v>865000</v>
      </c>
      <c r="R17" s="120">
        <v>864718.73</v>
      </c>
      <c r="S17" s="104">
        <f t="shared" si="0"/>
        <v>99.96748323699421</v>
      </c>
      <c r="T17" s="113" t="s">
        <v>135</v>
      </c>
      <c r="U17" s="93"/>
      <c r="V17" s="93"/>
      <c r="W17" s="93"/>
      <c r="X17" s="93"/>
      <c r="Y17" s="93"/>
      <c r="Z17" s="93"/>
    </row>
    <row r="18" spans="1:26" ht="15" customHeight="1">
      <c r="A18" s="99"/>
      <c r="B18" s="121">
        <v>15142</v>
      </c>
      <c r="C18" s="99">
        <v>2219</v>
      </c>
      <c r="D18" s="99">
        <v>6121</v>
      </c>
      <c r="E18" s="101">
        <v>16</v>
      </c>
      <c r="F18" s="111" t="s">
        <v>810</v>
      </c>
      <c r="G18" s="103"/>
      <c r="H18" s="120">
        <v>0</v>
      </c>
      <c r="I18" s="120"/>
      <c r="J18" s="120"/>
      <c r="K18" s="120"/>
      <c r="L18" s="120"/>
      <c r="M18" s="120"/>
      <c r="N18" s="120"/>
      <c r="O18" s="120"/>
      <c r="P18" s="120"/>
      <c r="Q18" s="120">
        <v>332973.98</v>
      </c>
      <c r="R18" s="120">
        <v>320973.98</v>
      </c>
      <c r="S18" s="104">
        <f t="shared" si="0"/>
        <v>96.39611479551645</v>
      </c>
      <c r="T18" s="113" t="s">
        <v>269</v>
      </c>
      <c r="U18" s="93"/>
      <c r="V18" s="93"/>
      <c r="W18" s="93"/>
      <c r="X18" s="93"/>
      <c r="Y18" s="93"/>
      <c r="Z18" s="93"/>
    </row>
    <row r="19" spans="1:27" ht="15" customHeight="1">
      <c r="A19" s="106">
        <v>4909</v>
      </c>
      <c r="B19" s="100">
        <f>A19+10000</f>
        <v>14909</v>
      </c>
      <c r="C19" s="106">
        <v>2219</v>
      </c>
      <c r="D19" s="106">
        <v>6121</v>
      </c>
      <c r="E19" s="99">
        <v>17</v>
      </c>
      <c r="F19" s="102" t="s">
        <v>28</v>
      </c>
      <c r="G19" s="103">
        <v>0.65</v>
      </c>
      <c r="H19" s="104">
        <f>G19*1000000</f>
        <v>650000</v>
      </c>
      <c r="I19" s="104"/>
      <c r="J19" s="104"/>
      <c r="K19" s="104"/>
      <c r="L19" s="104"/>
      <c r="M19" s="104"/>
      <c r="N19" s="104"/>
      <c r="O19" s="104">
        <f>H19+I19+J19+K19+L19+M19+N19</f>
        <v>650000</v>
      </c>
      <c r="P19" s="104"/>
      <c r="Q19" s="104">
        <v>0</v>
      </c>
      <c r="R19" s="104">
        <v>0</v>
      </c>
      <c r="S19" s="104">
        <v>0</v>
      </c>
      <c r="T19" s="105" t="s">
        <v>135</v>
      </c>
      <c r="U19" s="110"/>
      <c r="V19" s="93"/>
      <c r="W19" s="93"/>
      <c r="X19" s="93"/>
      <c r="Y19" s="93"/>
      <c r="Z19" s="93"/>
      <c r="AA19" s="93"/>
    </row>
    <row r="20" spans="1:27" ht="15" customHeight="1">
      <c r="A20" s="106">
        <v>4390</v>
      </c>
      <c r="B20" s="100">
        <f>A20+10000</f>
        <v>14390</v>
      </c>
      <c r="C20" s="106">
        <v>6409</v>
      </c>
      <c r="D20" s="106">
        <v>6121</v>
      </c>
      <c r="E20" s="101">
        <v>18</v>
      </c>
      <c r="F20" s="102" t="s">
        <v>29</v>
      </c>
      <c r="G20" s="120">
        <v>1.9</v>
      </c>
      <c r="H20" s="104">
        <f>G20*1000000</f>
        <v>1900000</v>
      </c>
      <c r="I20" s="104"/>
      <c r="J20" s="104"/>
      <c r="K20" s="104"/>
      <c r="L20" s="104"/>
      <c r="M20" s="104"/>
      <c r="N20" s="104"/>
      <c r="O20" s="104">
        <f>H20+I20+J20+K20+L20+M20+N20</f>
        <v>1900000</v>
      </c>
      <c r="P20" s="104">
        <v>-700000</v>
      </c>
      <c r="Q20" s="104">
        <v>827500</v>
      </c>
      <c r="R20" s="104">
        <v>826451</v>
      </c>
      <c r="S20" s="104">
        <f aca="true" t="shared" si="1" ref="S20:S25">R20/Q20*100</f>
        <v>99.8732326283988</v>
      </c>
      <c r="T20" s="105" t="s">
        <v>135</v>
      </c>
      <c r="W20" s="93"/>
      <c r="X20" s="93"/>
      <c r="Y20" s="93"/>
      <c r="Z20" s="93"/>
      <c r="AA20" s="93"/>
    </row>
    <row r="21" spans="1:27" s="114" customFormat="1" ht="15" customHeight="1">
      <c r="A21" s="106">
        <v>4943</v>
      </c>
      <c r="B21" s="100">
        <f>A21+10000</f>
        <v>14943</v>
      </c>
      <c r="C21" s="106">
        <v>6171</v>
      </c>
      <c r="D21" s="106">
        <v>6121</v>
      </c>
      <c r="E21" s="99">
        <v>19</v>
      </c>
      <c r="F21" s="111" t="s">
        <v>30</v>
      </c>
      <c r="G21" s="122"/>
      <c r="H21" s="104">
        <v>3200000</v>
      </c>
      <c r="I21" s="104"/>
      <c r="J21" s="104"/>
      <c r="K21" s="104"/>
      <c r="L21" s="104"/>
      <c r="M21" s="104"/>
      <c r="N21" s="104"/>
      <c r="O21" s="104">
        <v>2410000</v>
      </c>
      <c r="P21" s="104"/>
      <c r="Q21" s="104">
        <v>1334000</v>
      </c>
      <c r="R21" s="104">
        <v>1333169.44</v>
      </c>
      <c r="S21" s="104">
        <f t="shared" si="1"/>
        <v>99.93773913043478</v>
      </c>
      <c r="T21" s="113" t="s">
        <v>135</v>
      </c>
      <c r="U21" s="92"/>
      <c r="W21" s="92"/>
      <c r="X21" s="92"/>
      <c r="Y21" s="92"/>
      <c r="Z21" s="92"/>
      <c r="AA21" s="92"/>
    </row>
    <row r="22" spans="1:21" s="125" customFormat="1" ht="15" customHeight="1">
      <c r="A22" s="106">
        <v>4194</v>
      </c>
      <c r="B22" s="100">
        <f>A22</f>
        <v>4194</v>
      </c>
      <c r="C22" s="99">
        <v>2219</v>
      </c>
      <c r="D22" s="99">
        <v>6121</v>
      </c>
      <c r="E22" s="101">
        <v>20</v>
      </c>
      <c r="F22" s="102" t="s">
        <v>31</v>
      </c>
      <c r="G22" s="123">
        <v>107</v>
      </c>
      <c r="H22" s="104">
        <f>G22*1000000</f>
        <v>107000000</v>
      </c>
      <c r="I22" s="104"/>
      <c r="J22" s="104"/>
      <c r="K22" s="104"/>
      <c r="L22" s="104"/>
      <c r="M22" s="104">
        <v>-102000</v>
      </c>
      <c r="N22" s="104">
        <v>-150000</v>
      </c>
      <c r="O22" s="104">
        <f>H22+I22+J22+K22+L22+M22+N22</f>
        <v>106748000</v>
      </c>
      <c r="P22" s="104">
        <v>-10727061.16</v>
      </c>
      <c r="Q22" s="104">
        <f>55862371.15-150000</f>
        <v>55712371.15</v>
      </c>
      <c r="R22" s="104">
        <v>55705939.72</v>
      </c>
      <c r="S22" s="104">
        <f t="shared" si="1"/>
        <v>99.98845601099497</v>
      </c>
      <c r="T22" s="105" t="s">
        <v>135</v>
      </c>
      <c r="U22" s="124"/>
    </row>
    <row r="23" spans="1:21" s="125" customFormat="1" ht="15" customHeight="1">
      <c r="A23" s="106"/>
      <c r="B23" s="100">
        <v>4194</v>
      </c>
      <c r="C23" s="99">
        <v>2219</v>
      </c>
      <c r="D23" s="99">
        <v>6121</v>
      </c>
      <c r="E23" s="99">
        <v>21</v>
      </c>
      <c r="F23" s="102" t="s">
        <v>31</v>
      </c>
      <c r="G23" s="126"/>
      <c r="H23" s="104">
        <v>0</v>
      </c>
      <c r="I23" s="104"/>
      <c r="J23" s="104"/>
      <c r="K23" s="104"/>
      <c r="L23" s="104"/>
      <c r="M23" s="104"/>
      <c r="N23" s="104"/>
      <c r="O23" s="104"/>
      <c r="P23" s="104">
        <v>589357.36</v>
      </c>
      <c r="Q23" s="104">
        <v>2709486.14</v>
      </c>
      <c r="R23" s="104">
        <v>2709486.14</v>
      </c>
      <c r="S23" s="104">
        <f t="shared" si="1"/>
        <v>100</v>
      </c>
      <c r="T23" s="127" t="s">
        <v>32</v>
      </c>
      <c r="U23" s="124"/>
    </row>
    <row r="24" spans="1:21" s="125" customFormat="1" ht="15" customHeight="1">
      <c r="A24" s="106"/>
      <c r="B24" s="100">
        <v>4194</v>
      </c>
      <c r="C24" s="99">
        <v>2219</v>
      </c>
      <c r="D24" s="99">
        <v>6121</v>
      </c>
      <c r="E24" s="101">
        <v>22</v>
      </c>
      <c r="F24" s="102" t="s">
        <v>31</v>
      </c>
      <c r="G24" s="126"/>
      <c r="H24" s="104">
        <v>0</v>
      </c>
      <c r="I24" s="104"/>
      <c r="J24" s="104"/>
      <c r="K24" s="104"/>
      <c r="L24" s="104"/>
      <c r="M24" s="104"/>
      <c r="N24" s="104"/>
      <c r="O24" s="104"/>
      <c r="P24" s="104">
        <v>10137703.8</v>
      </c>
      <c r="Q24" s="104">
        <v>46606642.71</v>
      </c>
      <c r="R24" s="104">
        <v>46606642.71</v>
      </c>
      <c r="S24" s="104">
        <f t="shared" si="1"/>
        <v>100</v>
      </c>
      <c r="T24" s="127" t="s">
        <v>33</v>
      </c>
      <c r="U24" s="124"/>
    </row>
    <row r="25" spans="1:21" s="125" customFormat="1" ht="15" customHeight="1">
      <c r="A25" s="106"/>
      <c r="B25" s="100">
        <v>15129</v>
      </c>
      <c r="C25" s="99">
        <v>3421</v>
      </c>
      <c r="D25" s="99">
        <v>6121</v>
      </c>
      <c r="E25" s="99">
        <v>23</v>
      </c>
      <c r="F25" s="102" t="s">
        <v>34</v>
      </c>
      <c r="G25" s="126"/>
      <c r="H25" s="104">
        <v>0</v>
      </c>
      <c r="I25" s="104"/>
      <c r="J25" s="104"/>
      <c r="K25" s="104"/>
      <c r="L25" s="104"/>
      <c r="M25" s="104"/>
      <c r="N25" s="104"/>
      <c r="O25" s="104"/>
      <c r="P25" s="104"/>
      <c r="Q25" s="104">
        <v>366500</v>
      </c>
      <c r="R25" s="104">
        <v>366112.6</v>
      </c>
      <c r="S25" s="104">
        <f t="shared" si="1"/>
        <v>99.89429740791267</v>
      </c>
      <c r="T25" s="109" t="s">
        <v>135</v>
      </c>
      <c r="U25" s="124"/>
    </row>
    <row r="26" spans="1:21" s="125" customFormat="1" ht="15" customHeight="1">
      <c r="A26" s="106"/>
      <c r="B26" s="100">
        <v>15089</v>
      </c>
      <c r="C26" s="99">
        <v>5311</v>
      </c>
      <c r="D26" s="99">
        <v>6121</v>
      </c>
      <c r="E26" s="101">
        <v>24</v>
      </c>
      <c r="F26" s="102" t="s">
        <v>35</v>
      </c>
      <c r="G26" s="128"/>
      <c r="H26" s="104">
        <v>0</v>
      </c>
      <c r="I26" s="104"/>
      <c r="J26" s="104"/>
      <c r="K26" s="104">
        <v>1240000</v>
      </c>
      <c r="L26" s="104"/>
      <c r="M26" s="104"/>
      <c r="N26" s="104"/>
      <c r="O26" s="104">
        <f>H26+I26+J26+K26+L26+M26+N26</f>
        <v>1240000</v>
      </c>
      <c r="P26" s="104">
        <v>-106694</v>
      </c>
      <c r="Q26" s="104">
        <f>1133306-30303.73</f>
        <v>1103002.27</v>
      </c>
      <c r="R26" s="104">
        <v>1103002.27</v>
      </c>
      <c r="S26" s="104">
        <f aca="true" t="shared" si="2" ref="S26:S36">R26/Q26*100</f>
        <v>100</v>
      </c>
      <c r="T26" s="105" t="s">
        <v>36</v>
      </c>
      <c r="U26" s="124"/>
    </row>
    <row r="27" spans="1:21" s="125" customFormat="1" ht="15" customHeight="1">
      <c r="A27" s="106"/>
      <c r="B27" s="100">
        <v>15034</v>
      </c>
      <c r="C27" s="99">
        <v>5311</v>
      </c>
      <c r="D27" s="99">
        <v>6121</v>
      </c>
      <c r="E27" s="99">
        <v>25</v>
      </c>
      <c r="F27" s="102" t="s">
        <v>37</v>
      </c>
      <c r="G27" s="128"/>
      <c r="H27" s="104">
        <v>4000000</v>
      </c>
      <c r="I27" s="104"/>
      <c r="J27" s="104">
        <v>1520000</v>
      </c>
      <c r="K27" s="104"/>
      <c r="L27" s="104"/>
      <c r="M27" s="104"/>
      <c r="N27" s="104"/>
      <c r="O27" s="104">
        <f>H27+I27+J27+K27+L27+M27+N27</f>
        <v>5520000</v>
      </c>
      <c r="P27" s="104">
        <v>393000</v>
      </c>
      <c r="Q27" s="104">
        <f>5913000-226956.47</f>
        <v>5686043.53</v>
      </c>
      <c r="R27" s="104">
        <v>5685687.53</v>
      </c>
      <c r="S27" s="104">
        <f t="shared" si="2"/>
        <v>99.99373905602161</v>
      </c>
      <c r="T27" s="105" t="s">
        <v>36</v>
      </c>
      <c r="U27" s="124"/>
    </row>
    <row r="28" spans="1:21" s="125" customFormat="1" ht="15" customHeight="1">
      <c r="A28" s="106"/>
      <c r="B28" s="100">
        <v>14878</v>
      </c>
      <c r="C28" s="99">
        <v>2219</v>
      </c>
      <c r="D28" s="99">
        <v>6121</v>
      </c>
      <c r="E28" s="101">
        <v>26</v>
      </c>
      <c r="F28" s="102" t="s">
        <v>38</v>
      </c>
      <c r="G28" s="128"/>
      <c r="H28" s="104">
        <v>0</v>
      </c>
      <c r="I28" s="104"/>
      <c r="J28" s="104"/>
      <c r="K28" s="104"/>
      <c r="L28" s="104"/>
      <c r="M28" s="104"/>
      <c r="N28" s="104"/>
      <c r="O28" s="104">
        <v>0</v>
      </c>
      <c r="P28" s="104">
        <v>15000</v>
      </c>
      <c r="Q28" s="104">
        <v>466000</v>
      </c>
      <c r="R28" s="104">
        <v>465600</v>
      </c>
      <c r="S28" s="104">
        <f t="shared" si="2"/>
        <v>99.91416309012877</v>
      </c>
      <c r="T28" s="109" t="s">
        <v>135</v>
      </c>
      <c r="U28" s="124"/>
    </row>
    <row r="29" spans="1:27" ht="15" customHeight="1">
      <c r="A29" s="106">
        <v>4939</v>
      </c>
      <c r="B29" s="100">
        <f>A29+10000</f>
        <v>14939</v>
      </c>
      <c r="C29" s="106">
        <v>2212</v>
      </c>
      <c r="D29" s="106">
        <v>6121</v>
      </c>
      <c r="E29" s="99">
        <v>27</v>
      </c>
      <c r="F29" s="107" t="s">
        <v>39</v>
      </c>
      <c r="G29" s="129">
        <v>1.3</v>
      </c>
      <c r="H29" s="104">
        <f>G29*1000000</f>
        <v>1300000</v>
      </c>
      <c r="I29" s="104"/>
      <c r="J29" s="104"/>
      <c r="K29" s="104">
        <v>490000</v>
      </c>
      <c r="L29" s="104"/>
      <c r="M29" s="104"/>
      <c r="N29" s="104"/>
      <c r="O29" s="104">
        <v>1860000</v>
      </c>
      <c r="P29" s="104">
        <v>71500</v>
      </c>
      <c r="Q29" s="104">
        <v>1888500</v>
      </c>
      <c r="R29" s="104">
        <v>1887618</v>
      </c>
      <c r="S29" s="104">
        <f t="shared" si="2"/>
        <v>99.95329626687848</v>
      </c>
      <c r="T29" s="109" t="s">
        <v>135</v>
      </c>
      <c r="U29" s="110"/>
      <c r="V29" s="93"/>
      <c r="W29" s="93"/>
      <c r="X29" s="93"/>
      <c r="Y29" s="93"/>
      <c r="Z29" s="93"/>
      <c r="AA29" s="93"/>
    </row>
    <row r="30" spans="1:27" ht="15" customHeight="1">
      <c r="A30" s="106"/>
      <c r="B30" s="118">
        <v>15098</v>
      </c>
      <c r="C30" s="99">
        <v>2212</v>
      </c>
      <c r="D30" s="99">
        <v>6121</v>
      </c>
      <c r="E30" s="101">
        <v>28</v>
      </c>
      <c r="F30" s="105" t="s">
        <v>40</v>
      </c>
      <c r="G30" s="129"/>
      <c r="H30" s="104">
        <v>0</v>
      </c>
      <c r="I30" s="104"/>
      <c r="J30" s="104"/>
      <c r="K30" s="104"/>
      <c r="L30" s="104"/>
      <c r="M30" s="104"/>
      <c r="N30" s="104"/>
      <c r="O30" s="104">
        <v>0</v>
      </c>
      <c r="P30" s="104">
        <v>84000</v>
      </c>
      <c r="Q30" s="104">
        <v>1097500</v>
      </c>
      <c r="R30" s="104">
        <v>1087065</v>
      </c>
      <c r="S30" s="104">
        <f t="shared" si="2"/>
        <v>99.0492027334852</v>
      </c>
      <c r="T30" s="109" t="s">
        <v>135</v>
      </c>
      <c r="U30" s="110"/>
      <c r="V30" s="93"/>
      <c r="W30" s="93"/>
      <c r="X30" s="93"/>
      <c r="Y30" s="93"/>
      <c r="Z30" s="93"/>
      <c r="AA30" s="93"/>
    </row>
    <row r="31" spans="1:27" ht="15" customHeight="1">
      <c r="A31" s="106">
        <v>4854</v>
      </c>
      <c r="B31" s="100">
        <f>A31+10000</f>
        <v>14854</v>
      </c>
      <c r="C31" s="106">
        <v>2212</v>
      </c>
      <c r="D31" s="106">
        <v>6121</v>
      </c>
      <c r="E31" s="99">
        <v>29</v>
      </c>
      <c r="F31" s="102" t="s">
        <v>41</v>
      </c>
      <c r="G31" s="130">
        <v>3.5</v>
      </c>
      <c r="H31" s="104">
        <f>G31*1000000</f>
        <v>3500000</v>
      </c>
      <c r="I31" s="104"/>
      <c r="J31" s="104"/>
      <c r="K31" s="104">
        <v>277000</v>
      </c>
      <c r="L31" s="104">
        <v>20000</v>
      </c>
      <c r="M31" s="104"/>
      <c r="N31" s="104"/>
      <c r="O31" s="104">
        <f>H31+I31+J31+K31+L31+M31+N31</f>
        <v>3797000</v>
      </c>
      <c r="P31" s="104"/>
      <c r="Q31" s="104">
        <v>3797000</v>
      </c>
      <c r="R31" s="104">
        <v>3796620.6</v>
      </c>
      <c r="S31" s="104">
        <f t="shared" si="2"/>
        <v>99.99000790097445</v>
      </c>
      <c r="T31" s="109" t="s">
        <v>135</v>
      </c>
      <c r="U31" s="131"/>
      <c r="W31" s="93"/>
      <c r="X31" s="93"/>
      <c r="Y31" s="93"/>
      <c r="Z31" s="93"/>
      <c r="AA31" s="93"/>
    </row>
    <row r="32" spans="1:27" ht="15" customHeight="1">
      <c r="A32" s="106"/>
      <c r="B32" s="100">
        <v>15145</v>
      </c>
      <c r="C32" s="106">
        <v>2219</v>
      </c>
      <c r="D32" s="106">
        <v>6121</v>
      </c>
      <c r="E32" s="101">
        <v>30</v>
      </c>
      <c r="F32" s="102" t="s">
        <v>811</v>
      </c>
      <c r="G32" s="130"/>
      <c r="H32" s="104">
        <v>0</v>
      </c>
      <c r="I32" s="104"/>
      <c r="J32" s="104"/>
      <c r="K32" s="104"/>
      <c r="L32" s="104"/>
      <c r="M32" s="104"/>
      <c r="N32" s="104"/>
      <c r="O32" s="104"/>
      <c r="P32" s="104"/>
      <c r="Q32" s="104">
        <v>1405000</v>
      </c>
      <c r="R32" s="104">
        <v>1393969</v>
      </c>
      <c r="S32" s="104">
        <f t="shared" si="2"/>
        <v>99.21487544483986</v>
      </c>
      <c r="T32" s="109" t="s">
        <v>135</v>
      </c>
      <c r="U32" s="131"/>
      <c r="W32" s="93"/>
      <c r="X32" s="93"/>
      <c r="Y32" s="93"/>
      <c r="Z32" s="93"/>
      <c r="AA32" s="93"/>
    </row>
    <row r="33" spans="1:27" ht="15" customHeight="1">
      <c r="A33" s="106"/>
      <c r="B33" s="100">
        <v>14594</v>
      </c>
      <c r="C33" s="106">
        <v>3631</v>
      </c>
      <c r="D33" s="106">
        <v>6121</v>
      </c>
      <c r="E33" s="99">
        <v>31</v>
      </c>
      <c r="F33" s="102" t="s">
        <v>42</v>
      </c>
      <c r="G33" s="130"/>
      <c r="H33" s="104">
        <v>0</v>
      </c>
      <c r="I33" s="104"/>
      <c r="J33" s="104"/>
      <c r="K33" s="104"/>
      <c r="L33" s="104"/>
      <c r="M33" s="104"/>
      <c r="N33" s="104"/>
      <c r="O33" s="104">
        <v>167000</v>
      </c>
      <c r="P33" s="104"/>
      <c r="Q33" s="104">
        <v>167000</v>
      </c>
      <c r="R33" s="104">
        <v>166890</v>
      </c>
      <c r="S33" s="104">
        <f t="shared" si="2"/>
        <v>99.93413173652695</v>
      </c>
      <c r="T33" s="109" t="s">
        <v>135</v>
      </c>
      <c r="U33" s="131"/>
      <c r="W33" s="93"/>
      <c r="X33" s="93"/>
      <c r="Y33" s="93"/>
      <c r="Z33" s="93"/>
      <c r="AA33" s="93"/>
    </row>
    <row r="34" spans="1:27" ht="15" customHeight="1">
      <c r="A34" s="106">
        <v>4863</v>
      </c>
      <c r="B34" s="100">
        <f>A34+10000</f>
        <v>14863</v>
      </c>
      <c r="C34" s="106">
        <v>2219</v>
      </c>
      <c r="D34" s="106">
        <v>6121</v>
      </c>
      <c r="E34" s="101">
        <v>32</v>
      </c>
      <c r="F34" s="102" t="s">
        <v>43</v>
      </c>
      <c r="G34" s="120">
        <v>1</v>
      </c>
      <c r="H34" s="104">
        <f>G34*1000000</f>
        <v>1000000</v>
      </c>
      <c r="I34" s="104"/>
      <c r="J34" s="104"/>
      <c r="K34" s="104"/>
      <c r="L34" s="104"/>
      <c r="M34" s="104">
        <v>100000</v>
      </c>
      <c r="N34" s="104"/>
      <c r="O34" s="104">
        <f>H34+I34+J34+K34+L34+M34+N34</f>
        <v>1100000</v>
      </c>
      <c r="P34" s="104">
        <v>-12000</v>
      </c>
      <c r="Q34" s="104">
        <v>1088000</v>
      </c>
      <c r="R34" s="104">
        <v>1086910</v>
      </c>
      <c r="S34" s="104">
        <f t="shared" si="2"/>
        <v>99.8998161764706</v>
      </c>
      <c r="T34" s="105" t="s">
        <v>135</v>
      </c>
      <c r="W34" s="93"/>
      <c r="X34" s="93"/>
      <c r="Y34" s="93"/>
      <c r="Z34" s="93"/>
      <c r="AA34" s="93"/>
    </row>
    <row r="35" spans="1:27" ht="15" customHeight="1">
      <c r="A35" s="106">
        <v>4315</v>
      </c>
      <c r="B35" s="100">
        <f>A35+10000</f>
        <v>14315</v>
      </c>
      <c r="C35" s="106">
        <v>2219</v>
      </c>
      <c r="D35" s="106">
        <v>6121</v>
      </c>
      <c r="E35" s="99">
        <v>33</v>
      </c>
      <c r="F35" s="102" t="s">
        <v>44</v>
      </c>
      <c r="G35" s="120">
        <v>0.6</v>
      </c>
      <c r="H35" s="104">
        <f>G35*1000000</f>
        <v>600000</v>
      </c>
      <c r="I35" s="104"/>
      <c r="J35" s="104"/>
      <c r="K35" s="104"/>
      <c r="L35" s="104"/>
      <c r="M35" s="104"/>
      <c r="N35" s="104"/>
      <c r="O35" s="104">
        <f>H35+I35+J35+K35+L35+M35+N35</f>
        <v>600000</v>
      </c>
      <c r="P35" s="104">
        <v>-8000</v>
      </c>
      <c r="Q35" s="104">
        <v>592000</v>
      </c>
      <c r="R35" s="104">
        <v>591972.4</v>
      </c>
      <c r="S35" s="104">
        <f t="shared" si="2"/>
        <v>99.99533783783784</v>
      </c>
      <c r="T35" s="105" t="s">
        <v>135</v>
      </c>
      <c r="W35" s="93"/>
      <c r="X35" s="93"/>
      <c r="Y35" s="93"/>
      <c r="Z35" s="93"/>
      <c r="AA35" s="93"/>
    </row>
    <row r="36" spans="1:27" ht="15" customHeight="1">
      <c r="A36" s="106">
        <v>1045</v>
      </c>
      <c r="B36" s="100">
        <f>A36+10000</f>
        <v>11045</v>
      </c>
      <c r="C36" s="106">
        <v>2212</v>
      </c>
      <c r="D36" s="106">
        <v>6121</v>
      </c>
      <c r="E36" s="101">
        <v>34</v>
      </c>
      <c r="F36" s="107" t="s">
        <v>45</v>
      </c>
      <c r="G36" s="108">
        <v>2.1</v>
      </c>
      <c r="H36" s="104">
        <v>2100000</v>
      </c>
      <c r="I36" s="104"/>
      <c r="J36" s="104"/>
      <c r="K36" s="104"/>
      <c r="L36" s="104"/>
      <c r="M36" s="104">
        <v>-100000</v>
      </c>
      <c r="N36" s="104">
        <v>-516000</v>
      </c>
      <c r="O36" s="104">
        <v>900000</v>
      </c>
      <c r="P36" s="104">
        <v>-71500</v>
      </c>
      <c r="Q36" s="104">
        <v>828500</v>
      </c>
      <c r="R36" s="104">
        <v>828437.8</v>
      </c>
      <c r="S36" s="104">
        <f t="shared" si="2"/>
        <v>99.99249245624623</v>
      </c>
      <c r="T36" s="109" t="s">
        <v>135</v>
      </c>
      <c r="U36" s="110"/>
      <c r="W36" s="93"/>
      <c r="X36" s="93"/>
      <c r="Y36" s="93"/>
      <c r="Z36" s="93"/>
      <c r="AA36" s="93"/>
    </row>
    <row r="37" spans="1:27" ht="15" customHeight="1">
      <c r="A37" s="106">
        <v>863</v>
      </c>
      <c r="B37" s="100">
        <f>A37+10000</f>
        <v>10863</v>
      </c>
      <c r="C37" s="106">
        <v>2219</v>
      </c>
      <c r="D37" s="106">
        <v>6121</v>
      </c>
      <c r="E37" s="99">
        <v>35</v>
      </c>
      <c r="F37" s="107" t="s">
        <v>46</v>
      </c>
      <c r="G37" s="112">
        <v>0.7</v>
      </c>
      <c r="H37" s="120">
        <v>700000</v>
      </c>
      <c r="I37" s="120"/>
      <c r="J37" s="120"/>
      <c r="K37" s="120">
        <v>-700000</v>
      </c>
      <c r="L37" s="120"/>
      <c r="M37" s="120"/>
      <c r="N37" s="120"/>
      <c r="O37" s="104">
        <f>H37+I37+J37+K37+L37+M37+N37</f>
        <v>0</v>
      </c>
      <c r="P37" s="104"/>
      <c r="Q37" s="104">
        <v>0</v>
      </c>
      <c r="R37" s="120">
        <v>0</v>
      </c>
      <c r="S37" s="104">
        <v>0</v>
      </c>
      <c r="T37" s="109" t="s">
        <v>135</v>
      </c>
      <c r="U37" s="110"/>
      <c r="V37" s="93"/>
      <c r="W37" s="93"/>
      <c r="X37" s="93"/>
      <c r="Y37" s="93"/>
      <c r="Z37" s="93"/>
      <c r="AA37" s="93"/>
    </row>
    <row r="38" spans="1:27" ht="15" customHeight="1">
      <c r="A38" s="106">
        <v>4852</v>
      </c>
      <c r="B38" s="100">
        <f>A38+10000</f>
        <v>14852</v>
      </c>
      <c r="C38" s="106">
        <v>2212</v>
      </c>
      <c r="D38" s="106">
        <v>6121</v>
      </c>
      <c r="E38" s="101">
        <v>36</v>
      </c>
      <c r="F38" s="115" t="s">
        <v>47</v>
      </c>
      <c r="G38" s="112">
        <v>33</v>
      </c>
      <c r="H38" s="104">
        <f>G38*1000000</f>
        <v>33000000</v>
      </c>
      <c r="I38" s="104"/>
      <c r="J38" s="104"/>
      <c r="K38" s="104"/>
      <c r="L38" s="104"/>
      <c r="M38" s="104"/>
      <c r="N38" s="104"/>
      <c r="O38" s="104">
        <f>H38+I38+J38+K38+L38+M38+N38</f>
        <v>33000000</v>
      </c>
      <c r="P38" s="104"/>
      <c r="Q38" s="104">
        <v>31393500</v>
      </c>
      <c r="R38" s="104">
        <v>31393459</v>
      </c>
      <c r="S38" s="104">
        <f>R38/Q38*100</f>
        <v>99.9998693997165</v>
      </c>
      <c r="T38" s="109" t="s">
        <v>135</v>
      </c>
      <c r="U38" s="116"/>
      <c r="V38" s="93"/>
      <c r="W38" s="93"/>
      <c r="X38" s="93"/>
      <c r="Y38" s="93"/>
      <c r="Z38" s="93"/>
      <c r="AA38" s="93"/>
    </row>
    <row r="39" spans="1:27" ht="15" customHeight="1">
      <c r="A39" s="106"/>
      <c r="B39" s="100">
        <v>15130</v>
      </c>
      <c r="C39" s="106">
        <v>3421</v>
      </c>
      <c r="D39" s="106">
        <v>6121</v>
      </c>
      <c r="E39" s="99">
        <v>37</v>
      </c>
      <c r="F39" s="115" t="s">
        <v>48</v>
      </c>
      <c r="G39" s="112"/>
      <c r="H39" s="104">
        <v>0</v>
      </c>
      <c r="I39" s="104"/>
      <c r="J39" s="104"/>
      <c r="K39" s="104"/>
      <c r="L39" s="104"/>
      <c r="M39" s="104"/>
      <c r="N39" s="104"/>
      <c r="O39" s="104"/>
      <c r="P39" s="104"/>
      <c r="Q39" s="104">
        <v>525500</v>
      </c>
      <c r="R39" s="104">
        <v>525368.4</v>
      </c>
      <c r="S39" s="104">
        <f>R39/Q39*100</f>
        <v>99.97495718363464</v>
      </c>
      <c r="T39" s="109" t="s">
        <v>135</v>
      </c>
      <c r="U39" s="116"/>
      <c r="V39" s="93"/>
      <c r="W39" s="93"/>
      <c r="X39" s="93"/>
      <c r="Y39" s="93"/>
      <c r="Z39" s="93"/>
      <c r="AA39" s="93"/>
    </row>
    <row r="40" spans="1:27" ht="15" customHeight="1">
      <c r="A40" s="106">
        <v>4941</v>
      </c>
      <c r="B40" s="100">
        <f>A40+10000</f>
        <v>14941</v>
      </c>
      <c r="C40" s="106">
        <v>3111</v>
      </c>
      <c r="D40" s="106">
        <v>6121</v>
      </c>
      <c r="E40" s="101">
        <v>38</v>
      </c>
      <c r="F40" s="102" t="s">
        <v>49</v>
      </c>
      <c r="G40" s="120">
        <v>1.95</v>
      </c>
      <c r="H40" s="104">
        <f>G40*1000000</f>
        <v>1950000</v>
      </c>
      <c r="I40" s="104"/>
      <c r="J40" s="104"/>
      <c r="K40" s="104"/>
      <c r="L40" s="104"/>
      <c r="M40" s="104"/>
      <c r="N40" s="104"/>
      <c r="O40" s="104">
        <v>45000</v>
      </c>
      <c r="P40" s="104"/>
      <c r="Q40" s="104">
        <v>41000</v>
      </c>
      <c r="R40" s="104">
        <v>40269.2</v>
      </c>
      <c r="S40" s="104">
        <f aca="true" t="shared" si="3" ref="S40:S64">R40/Q40*100</f>
        <v>98.21756097560976</v>
      </c>
      <c r="T40" s="105" t="s">
        <v>135</v>
      </c>
      <c r="W40" s="93"/>
      <c r="X40" s="93"/>
      <c r="Y40" s="93"/>
      <c r="Z40" s="93"/>
      <c r="AA40" s="93"/>
    </row>
    <row r="41" spans="1:27" ht="15" customHeight="1">
      <c r="A41" s="106"/>
      <c r="B41" s="100">
        <v>14791</v>
      </c>
      <c r="C41" s="106">
        <v>3111</v>
      </c>
      <c r="D41" s="106">
        <v>6121</v>
      </c>
      <c r="E41" s="99">
        <v>39</v>
      </c>
      <c r="F41" s="102" t="s">
        <v>866</v>
      </c>
      <c r="G41" s="120"/>
      <c r="H41" s="104">
        <v>0</v>
      </c>
      <c r="I41" s="104"/>
      <c r="J41" s="104"/>
      <c r="K41" s="104"/>
      <c r="L41" s="104"/>
      <c r="M41" s="104"/>
      <c r="N41" s="104"/>
      <c r="O41" s="104"/>
      <c r="P41" s="104"/>
      <c r="Q41" s="104">
        <v>1000</v>
      </c>
      <c r="R41" s="104">
        <v>0</v>
      </c>
      <c r="S41" s="104">
        <v>0</v>
      </c>
      <c r="T41" s="105" t="s">
        <v>135</v>
      </c>
      <c r="W41" s="93"/>
      <c r="X41" s="93"/>
      <c r="Y41" s="93"/>
      <c r="Z41" s="93"/>
      <c r="AA41" s="93"/>
    </row>
    <row r="42" spans="1:27" ht="15" customHeight="1">
      <c r="A42" s="106"/>
      <c r="B42" s="100">
        <v>14988</v>
      </c>
      <c r="C42" s="106">
        <v>3111</v>
      </c>
      <c r="D42" s="106">
        <v>6121</v>
      </c>
      <c r="E42" s="101">
        <v>40</v>
      </c>
      <c r="F42" s="102" t="s">
        <v>88</v>
      </c>
      <c r="G42" s="120"/>
      <c r="H42" s="104">
        <v>0</v>
      </c>
      <c r="I42" s="104"/>
      <c r="J42" s="104"/>
      <c r="K42" s="104"/>
      <c r="L42" s="104"/>
      <c r="M42" s="104"/>
      <c r="N42" s="104"/>
      <c r="O42" s="104"/>
      <c r="P42" s="104"/>
      <c r="Q42" s="104">
        <v>1000</v>
      </c>
      <c r="R42" s="104">
        <v>0</v>
      </c>
      <c r="S42" s="104">
        <v>0</v>
      </c>
      <c r="T42" s="105" t="s">
        <v>135</v>
      </c>
      <c r="W42" s="93"/>
      <c r="X42" s="93"/>
      <c r="Y42" s="93"/>
      <c r="Z42" s="93"/>
      <c r="AA42" s="93"/>
    </row>
    <row r="43" spans="1:27" ht="15" customHeight="1">
      <c r="A43" s="106"/>
      <c r="B43" s="100">
        <v>14984</v>
      </c>
      <c r="C43" s="106">
        <v>3111</v>
      </c>
      <c r="D43" s="106">
        <v>6121</v>
      </c>
      <c r="E43" s="99">
        <v>41</v>
      </c>
      <c r="F43" s="102" t="s">
        <v>89</v>
      </c>
      <c r="G43" s="120"/>
      <c r="H43" s="104">
        <v>0</v>
      </c>
      <c r="I43" s="104"/>
      <c r="J43" s="104"/>
      <c r="K43" s="104"/>
      <c r="L43" s="104"/>
      <c r="M43" s="104"/>
      <c r="N43" s="104"/>
      <c r="O43" s="104"/>
      <c r="P43" s="104"/>
      <c r="Q43" s="104">
        <v>1000</v>
      </c>
      <c r="R43" s="104">
        <v>0</v>
      </c>
      <c r="S43" s="104">
        <v>0</v>
      </c>
      <c r="T43" s="105" t="s">
        <v>135</v>
      </c>
      <c r="W43" s="93"/>
      <c r="X43" s="93"/>
      <c r="Y43" s="93"/>
      <c r="Z43" s="93"/>
      <c r="AA43" s="93"/>
    </row>
    <row r="44" spans="1:27" ht="15" customHeight="1">
      <c r="A44" s="106"/>
      <c r="B44" s="100">
        <v>14987</v>
      </c>
      <c r="C44" s="106">
        <v>3111</v>
      </c>
      <c r="D44" s="106">
        <v>6121</v>
      </c>
      <c r="E44" s="101">
        <v>42</v>
      </c>
      <c r="F44" s="102" t="s">
        <v>90</v>
      </c>
      <c r="G44" s="120"/>
      <c r="H44" s="104">
        <v>0</v>
      </c>
      <c r="I44" s="104"/>
      <c r="J44" s="104"/>
      <c r="K44" s="104"/>
      <c r="L44" s="104"/>
      <c r="M44" s="104"/>
      <c r="N44" s="104"/>
      <c r="O44" s="104"/>
      <c r="P44" s="104"/>
      <c r="Q44" s="104">
        <v>1000</v>
      </c>
      <c r="R44" s="104">
        <v>0</v>
      </c>
      <c r="S44" s="104">
        <v>0</v>
      </c>
      <c r="T44" s="105" t="s">
        <v>135</v>
      </c>
      <c r="W44" s="93"/>
      <c r="X44" s="93"/>
      <c r="Y44" s="93"/>
      <c r="Z44" s="93"/>
      <c r="AA44" s="93"/>
    </row>
    <row r="45" spans="1:27" ht="15" customHeight="1">
      <c r="A45" s="106">
        <v>4203</v>
      </c>
      <c r="B45" s="100">
        <f>A45+10000</f>
        <v>14203</v>
      </c>
      <c r="C45" s="106">
        <v>2212</v>
      </c>
      <c r="D45" s="106">
        <v>6121</v>
      </c>
      <c r="E45" s="99">
        <v>43</v>
      </c>
      <c r="F45" s="132" t="s">
        <v>50</v>
      </c>
      <c r="G45" s="108">
        <v>1.75</v>
      </c>
      <c r="H45" s="104">
        <v>1750000</v>
      </c>
      <c r="I45" s="104"/>
      <c r="J45" s="104"/>
      <c r="K45" s="104"/>
      <c r="L45" s="104"/>
      <c r="M45" s="104"/>
      <c r="N45" s="104"/>
      <c r="O45" s="104">
        <f>H45+I45+J45+K45+L45+M45+N45</f>
        <v>1750000</v>
      </c>
      <c r="P45" s="104">
        <f>-170000-128000</f>
        <v>-298000</v>
      </c>
      <c r="Q45" s="104">
        <v>1451000</v>
      </c>
      <c r="R45" s="104">
        <v>1450598.49</v>
      </c>
      <c r="S45" s="104">
        <f t="shared" si="3"/>
        <v>99.97232873880083</v>
      </c>
      <c r="T45" s="109" t="s">
        <v>135</v>
      </c>
      <c r="U45" s="110"/>
      <c r="W45" s="93"/>
      <c r="X45" s="93"/>
      <c r="Y45" s="93"/>
      <c r="Z45" s="93"/>
      <c r="AA45" s="93"/>
    </row>
    <row r="46" spans="1:27" ht="15" customHeight="1">
      <c r="A46" s="106"/>
      <c r="B46" s="100">
        <v>15127</v>
      </c>
      <c r="C46" s="106">
        <v>3421</v>
      </c>
      <c r="D46" s="106">
        <v>6121</v>
      </c>
      <c r="E46" s="101">
        <v>44</v>
      </c>
      <c r="F46" s="132" t="s">
        <v>470</v>
      </c>
      <c r="G46" s="108"/>
      <c r="H46" s="104">
        <v>0</v>
      </c>
      <c r="I46" s="104"/>
      <c r="J46" s="104"/>
      <c r="K46" s="104"/>
      <c r="L46" s="104"/>
      <c r="M46" s="104"/>
      <c r="N46" s="104"/>
      <c r="O46" s="104"/>
      <c r="P46" s="104"/>
      <c r="Q46" s="104">
        <v>568000</v>
      </c>
      <c r="R46" s="104">
        <v>567840</v>
      </c>
      <c r="S46" s="104">
        <f t="shared" si="3"/>
        <v>99.97183098591549</v>
      </c>
      <c r="T46" s="109" t="s">
        <v>135</v>
      </c>
      <c r="U46" s="110"/>
      <c r="W46" s="93"/>
      <c r="X46" s="93"/>
      <c r="Y46" s="93"/>
      <c r="Z46" s="93"/>
      <c r="AA46" s="93"/>
    </row>
    <row r="47" spans="1:27" s="114" customFormat="1" ht="15" customHeight="1">
      <c r="A47" s="106">
        <v>4455</v>
      </c>
      <c r="B47" s="100">
        <f>A47+10000</f>
        <v>14455</v>
      </c>
      <c r="C47" s="106">
        <v>2212</v>
      </c>
      <c r="D47" s="106">
        <v>6121</v>
      </c>
      <c r="E47" s="99">
        <v>45</v>
      </c>
      <c r="F47" s="119" t="s">
        <v>51</v>
      </c>
      <c r="G47" s="103">
        <v>24.5</v>
      </c>
      <c r="H47" s="104">
        <f>G47*1000000</f>
        <v>24500000</v>
      </c>
      <c r="I47" s="104"/>
      <c r="J47" s="104"/>
      <c r="K47" s="104"/>
      <c r="L47" s="104"/>
      <c r="M47" s="104"/>
      <c r="N47" s="104">
        <v>-2974000</v>
      </c>
      <c r="O47" s="104">
        <v>21509000</v>
      </c>
      <c r="P47" s="104"/>
      <c r="Q47" s="104">
        <v>21401500</v>
      </c>
      <c r="R47" s="104">
        <v>21136263.7</v>
      </c>
      <c r="S47" s="104">
        <f t="shared" si="3"/>
        <v>98.76066490666543</v>
      </c>
      <c r="T47" s="113" t="s">
        <v>135</v>
      </c>
      <c r="U47" s="92"/>
      <c r="W47" s="92"/>
      <c r="X47" s="92"/>
      <c r="Y47" s="92"/>
      <c r="Z47" s="92"/>
      <c r="AA47" s="92"/>
    </row>
    <row r="48" spans="1:27" s="114" customFormat="1" ht="15" customHeight="1">
      <c r="A48" s="106"/>
      <c r="B48" s="100">
        <v>15109</v>
      </c>
      <c r="C48" s="106">
        <v>6409</v>
      </c>
      <c r="D48" s="106">
        <v>6121</v>
      </c>
      <c r="E48" s="101">
        <v>46</v>
      </c>
      <c r="F48" s="111" t="s">
        <v>52</v>
      </c>
      <c r="G48" s="103"/>
      <c r="H48" s="104">
        <v>0</v>
      </c>
      <c r="I48" s="104"/>
      <c r="J48" s="104"/>
      <c r="K48" s="104"/>
      <c r="L48" s="104"/>
      <c r="M48" s="104"/>
      <c r="N48" s="104"/>
      <c r="O48" s="104">
        <v>0</v>
      </c>
      <c r="P48" s="104">
        <v>70000</v>
      </c>
      <c r="Q48" s="104">
        <v>70000</v>
      </c>
      <c r="R48" s="104">
        <v>66000</v>
      </c>
      <c r="S48" s="104">
        <f t="shared" si="3"/>
        <v>94.28571428571428</v>
      </c>
      <c r="T48" s="113" t="s">
        <v>53</v>
      </c>
      <c r="U48" s="92"/>
      <c r="W48" s="92"/>
      <c r="X48" s="92"/>
      <c r="Y48" s="92"/>
      <c r="Z48" s="92"/>
      <c r="AA48" s="92"/>
    </row>
    <row r="49" spans="1:27" ht="15" customHeight="1">
      <c r="A49" s="106">
        <v>4598</v>
      </c>
      <c r="B49" s="100">
        <f>A49+10000</f>
        <v>14598</v>
      </c>
      <c r="C49" s="106">
        <v>2212</v>
      </c>
      <c r="D49" s="106">
        <v>6121</v>
      </c>
      <c r="E49" s="99">
        <v>47</v>
      </c>
      <c r="F49" s="102" t="s">
        <v>54</v>
      </c>
      <c r="G49" s="103">
        <v>3.8</v>
      </c>
      <c r="H49" s="104">
        <f>G49*1000000</f>
        <v>3800000</v>
      </c>
      <c r="I49" s="104"/>
      <c r="J49" s="104"/>
      <c r="K49" s="104"/>
      <c r="L49" s="104"/>
      <c r="M49" s="104"/>
      <c r="N49" s="104"/>
      <c r="O49" s="104">
        <f>H49+I49+J49+K49+L49+M49+N49</f>
        <v>3800000</v>
      </c>
      <c r="P49" s="104"/>
      <c r="Q49" s="104">
        <v>2853000</v>
      </c>
      <c r="R49" s="104">
        <v>2852312.04</v>
      </c>
      <c r="S49" s="104">
        <f t="shared" si="3"/>
        <v>99.97588643533123</v>
      </c>
      <c r="T49" s="105" t="s">
        <v>135</v>
      </c>
      <c r="U49" s="131"/>
      <c r="V49" s="93"/>
      <c r="W49" s="93"/>
      <c r="X49" s="93"/>
      <c r="Y49" s="93"/>
      <c r="Z49" s="93"/>
      <c r="AA49" s="93"/>
    </row>
    <row r="50" spans="1:27" ht="15" customHeight="1">
      <c r="A50" s="106">
        <v>4599</v>
      </c>
      <c r="B50" s="100">
        <f>A50+10000</f>
        <v>14599</v>
      </c>
      <c r="C50" s="106">
        <v>2212</v>
      </c>
      <c r="D50" s="106">
        <v>6121</v>
      </c>
      <c r="E50" s="101">
        <v>48</v>
      </c>
      <c r="F50" s="102" t="s">
        <v>55</v>
      </c>
      <c r="G50" s="103">
        <v>2.8</v>
      </c>
      <c r="H50" s="104">
        <f>G50*1000000</f>
        <v>2800000</v>
      </c>
      <c r="I50" s="104"/>
      <c r="J50" s="104"/>
      <c r="K50" s="104"/>
      <c r="L50" s="104"/>
      <c r="M50" s="104"/>
      <c r="N50" s="104"/>
      <c r="O50" s="104">
        <f>H50+I50+J50+K50+L50+M50+N50</f>
        <v>2800000</v>
      </c>
      <c r="P50" s="104"/>
      <c r="Q50" s="104">
        <v>2605000</v>
      </c>
      <c r="R50" s="104">
        <v>2604925.41</v>
      </c>
      <c r="S50" s="104">
        <f t="shared" si="3"/>
        <v>99.99713666026871</v>
      </c>
      <c r="T50" s="105" t="s">
        <v>135</v>
      </c>
      <c r="U50" s="131"/>
      <c r="V50" s="93"/>
      <c r="W50" s="93"/>
      <c r="X50" s="93"/>
      <c r="Y50" s="93"/>
      <c r="Z50" s="93"/>
      <c r="AA50" s="93"/>
    </row>
    <row r="51" spans="1:27" ht="15" customHeight="1">
      <c r="A51" s="99">
        <v>1063</v>
      </c>
      <c r="B51" s="100">
        <f>A51+10000</f>
        <v>11063</v>
      </c>
      <c r="C51" s="99">
        <v>2321</v>
      </c>
      <c r="D51" s="99">
        <v>6121</v>
      </c>
      <c r="E51" s="99">
        <v>49</v>
      </c>
      <c r="F51" s="115" t="s">
        <v>56</v>
      </c>
      <c r="G51" s="103">
        <v>1.5</v>
      </c>
      <c r="H51" s="133">
        <v>1500000</v>
      </c>
      <c r="I51" s="133"/>
      <c r="J51" s="133"/>
      <c r="K51" s="133"/>
      <c r="L51" s="133"/>
      <c r="M51" s="133"/>
      <c r="N51" s="133"/>
      <c r="O51" s="104">
        <v>1505000</v>
      </c>
      <c r="P51" s="104"/>
      <c r="Q51" s="104">
        <v>1505000</v>
      </c>
      <c r="R51" s="133">
        <v>1504723.4</v>
      </c>
      <c r="S51" s="104">
        <f t="shared" si="3"/>
        <v>99.98162126245846</v>
      </c>
      <c r="T51" s="109" t="s">
        <v>135</v>
      </c>
      <c r="V51" s="93"/>
      <c r="W51" s="93"/>
      <c r="X51" s="93"/>
      <c r="Y51" s="93"/>
      <c r="Z51" s="93"/>
      <c r="AA51" s="93"/>
    </row>
    <row r="52" spans="1:27" ht="15" customHeight="1">
      <c r="A52" s="99"/>
      <c r="B52" s="100">
        <v>15131</v>
      </c>
      <c r="C52" s="99">
        <v>3421</v>
      </c>
      <c r="D52" s="99">
        <v>6121</v>
      </c>
      <c r="E52" s="101">
        <v>50</v>
      </c>
      <c r="F52" s="115" t="s">
        <v>808</v>
      </c>
      <c r="G52" s="103"/>
      <c r="H52" s="133">
        <v>0</v>
      </c>
      <c r="I52" s="133"/>
      <c r="J52" s="133"/>
      <c r="K52" s="133"/>
      <c r="L52" s="133"/>
      <c r="M52" s="133"/>
      <c r="N52" s="133"/>
      <c r="O52" s="104"/>
      <c r="P52" s="104"/>
      <c r="Q52" s="104">
        <v>884500</v>
      </c>
      <c r="R52" s="133">
        <v>884264.4</v>
      </c>
      <c r="S52" s="104">
        <f t="shared" si="3"/>
        <v>99.97336348219334</v>
      </c>
      <c r="T52" s="109" t="s">
        <v>135</v>
      </c>
      <c r="V52" s="93"/>
      <c r="W52" s="93"/>
      <c r="X52" s="93"/>
      <c r="Y52" s="93"/>
      <c r="Z52" s="93"/>
      <c r="AA52" s="93"/>
    </row>
    <row r="53" spans="1:27" ht="15" customHeight="1">
      <c r="A53" s="106">
        <v>4806</v>
      </c>
      <c r="B53" s="100">
        <f>A53+10000</f>
        <v>14806</v>
      </c>
      <c r="C53" s="106">
        <v>2219</v>
      </c>
      <c r="D53" s="106">
        <v>6121</v>
      </c>
      <c r="E53" s="99">
        <v>51</v>
      </c>
      <c r="F53" s="105" t="s">
        <v>57</v>
      </c>
      <c r="G53" s="120">
        <v>1</v>
      </c>
      <c r="H53" s="104">
        <f>G53*1000000</f>
        <v>1000000</v>
      </c>
      <c r="I53" s="104"/>
      <c r="J53" s="104"/>
      <c r="K53" s="104"/>
      <c r="L53" s="104"/>
      <c r="M53" s="104"/>
      <c r="N53" s="104"/>
      <c r="O53" s="104">
        <f>H53+I53+J53+K53+L53+M53+N53</f>
        <v>1000000</v>
      </c>
      <c r="P53" s="104"/>
      <c r="Q53" s="104">
        <v>380000</v>
      </c>
      <c r="R53" s="104">
        <v>376317</v>
      </c>
      <c r="S53" s="104">
        <f t="shared" si="3"/>
        <v>99.03078947368421</v>
      </c>
      <c r="T53" s="105" t="s">
        <v>135</v>
      </c>
      <c r="W53" s="93"/>
      <c r="X53" s="93"/>
      <c r="Y53" s="93"/>
      <c r="Z53" s="93"/>
      <c r="AA53" s="93"/>
    </row>
    <row r="54" spans="1:27" ht="15" customHeight="1">
      <c r="A54" s="106"/>
      <c r="B54" s="100">
        <v>14806</v>
      </c>
      <c r="C54" s="106">
        <v>2219</v>
      </c>
      <c r="D54" s="106">
        <v>6121</v>
      </c>
      <c r="E54" s="101">
        <v>52</v>
      </c>
      <c r="F54" s="105" t="s">
        <v>57</v>
      </c>
      <c r="G54" s="120"/>
      <c r="H54" s="104">
        <v>0</v>
      </c>
      <c r="I54" s="104"/>
      <c r="J54" s="104"/>
      <c r="K54" s="104"/>
      <c r="L54" s="104"/>
      <c r="M54" s="104"/>
      <c r="N54" s="104"/>
      <c r="O54" s="104"/>
      <c r="P54" s="104"/>
      <c r="Q54" s="104">
        <f>265000-80442</f>
        <v>184558</v>
      </c>
      <c r="R54" s="104">
        <v>184558</v>
      </c>
      <c r="S54" s="104">
        <f t="shared" si="3"/>
        <v>100</v>
      </c>
      <c r="T54" s="127" t="s">
        <v>980</v>
      </c>
      <c r="W54" s="93"/>
      <c r="X54" s="93"/>
      <c r="Y54" s="93"/>
      <c r="Z54" s="93"/>
      <c r="AA54" s="93"/>
    </row>
    <row r="55" spans="1:27" ht="15" customHeight="1">
      <c r="A55" s="106">
        <v>4785</v>
      </c>
      <c r="B55" s="100">
        <f>A55+10000</f>
        <v>14785</v>
      </c>
      <c r="C55" s="106">
        <v>2219</v>
      </c>
      <c r="D55" s="106">
        <v>6121</v>
      </c>
      <c r="E55" s="99">
        <v>53</v>
      </c>
      <c r="F55" s="107" t="s">
        <v>58</v>
      </c>
      <c r="G55" s="103">
        <v>0.7</v>
      </c>
      <c r="H55" s="104">
        <f>G55*1000000</f>
        <v>700000</v>
      </c>
      <c r="I55" s="104"/>
      <c r="J55" s="104"/>
      <c r="K55" s="104"/>
      <c r="L55" s="104"/>
      <c r="M55" s="104"/>
      <c r="N55" s="104">
        <v>-15000</v>
      </c>
      <c r="O55" s="104">
        <f>H55+I55+J55+K55+L55+M55+N55</f>
        <v>685000</v>
      </c>
      <c r="P55" s="104"/>
      <c r="Q55" s="104">
        <v>518000</v>
      </c>
      <c r="R55" s="104">
        <v>517590.1</v>
      </c>
      <c r="S55" s="104">
        <f t="shared" si="3"/>
        <v>99.92086872586871</v>
      </c>
      <c r="T55" s="109" t="s">
        <v>135</v>
      </c>
      <c r="U55" s="110"/>
      <c r="V55" s="93"/>
      <c r="W55" s="93"/>
      <c r="X55" s="93"/>
      <c r="Y55" s="93"/>
      <c r="Z55" s="93"/>
      <c r="AA55" s="93"/>
    </row>
    <row r="56" spans="1:27" ht="15" customHeight="1">
      <c r="A56" s="134">
        <v>1064</v>
      </c>
      <c r="B56" s="100">
        <f>A56+10000</f>
        <v>11064</v>
      </c>
      <c r="C56" s="135">
        <v>2212</v>
      </c>
      <c r="D56" s="106">
        <v>6121</v>
      </c>
      <c r="E56" s="101">
        <v>54</v>
      </c>
      <c r="F56" s="132" t="s">
        <v>59</v>
      </c>
      <c r="G56" s="108">
        <v>3.5</v>
      </c>
      <c r="H56" s="104">
        <v>3500000</v>
      </c>
      <c r="I56" s="104"/>
      <c r="J56" s="104"/>
      <c r="K56" s="104"/>
      <c r="L56" s="104"/>
      <c r="M56" s="104"/>
      <c r="N56" s="104"/>
      <c r="O56" s="104">
        <f>H56+I56+J56+K56+L56+M56+N56</f>
        <v>3500000</v>
      </c>
      <c r="P56" s="104"/>
      <c r="Q56" s="104">
        <v>2921000</v>
      </c>
      <c r="R56" s="104">
        <v>2908026.51</v>
      </c>
      <c r="S56" s="104">
        <f t="shared" si="3"/>
        <v>99.55585450188292</v>
      </c>
      <c r="T56" s="109" t="s">
        <v>135</v>
      </c>
      <c r="U56" s="110"/>
      <c r="W56" s="93"/>
      <c r="X56" s="93"/>
      <c r="Y56" s="93"/>
      <c r="Z56" s="93"/>
      <c r="AA56" s="93"/>
    </row>
    <row r="57" spans="1:27" ht="15" customHeight="1">
      <c r="A57" s="134">
        <v>4942</v>
      </c>
      <c r="B57" s="100">
        <f>A57+10000</f>
        <v>14942</v>
      </c>
      <c r="C57" s="135">
        <v>2221</v>
      </c>
      <c r="D57" s="106">
        <v>6121</v>
      </c>
      <c r="E57" s="99">
        <v>55</v>
      </c>
      <c r="F57" s="136" t="s">
        <v>60</v>
      </c>
      <c r="G57" s="103">
        <v>1.9</v>
      </c>
      <c r="H57" s="104">
        <f>G57*1000000</f>
        <v>1900000</v>
      </c>
      <c r="I57" s="104"/>
      <c r="J57" s="104"/>
      <c r="K57" s="104"/>
      <c r="L57" s="104"/>
      <c r="M57" s="104"/>
      <c r="N57" s="104"/>
      <c r="O57" s="104">
        <f>H57+I57+J57+K57+L57+M57+N57</f>
        <v>1900000</v>
      </c>
      <c r="P57" s="104"/>
      <c r="Q57" s="104">
        <v>1218000</v>
      </c>
      <c r="R57" s="104">
        <v>1217353.3</v>
      </c>
      <c r="S57" s="104">
        <f t="shared" si="3"/>
        <v>99.94690476190476</v>
      </c>
      <c r="T57" s="109" t="s">
        <v>135</v>
      </c>
      <c r="U57" s="116"/>
      <c r="V57" s="93"/>
      <c r="W57" s="93"/>
      <c r="X57" s="93"/>
      <c r="Y57" s="93"/>
      <c r="Z57" s="93"/>
      <c r="AA57" s="93"/>
    </row>
    <row r="58" spans="1:27" ht="22.5" customHeight="1">
      <c r="A58" s="106">
        <v>4195</v>
      </c>
      <c r="B58" s="100">
        <v>14195</v>
      </c>
      <c r="C58" s="106">
        <v>2212</v>
      </c>
      <c r="D58" s="106">
        <v>6121</v>
      </c>
      <c r="E58" s="101">
        <v>56</v>
      </c>
      <c r="F58" s="137" t="s">
        <v>61</v>
      </c>
      <c r="G58" s="103">
        <v>75.2</v>
      </c>
      <c r="H58" s="104">
        <v>75200000</v>
      </c>
      <c r="I58" s="104">
        <f>910000+7890000</f>
        <v>8800000</v>
      </c>
      <c r="J58" s="104"/>
      <c r="K58" s="104"/>
      <c r="L58" s="104"/>
      <c r="M58" s="104"/>
      <c r="N58" s="104"/>
      <c r="O58" s="104">
        <v>88935000</v>
      </c>
      <c r="P58" s="104"/>
      <c r="Q58" s="104">
        <v>50376062</v>
      </c>
      <c r="R58" s="104">
        <v>50224151.21</v>
      </c>
      <c r="S58" s="104">
        <f t="shared" si="3"/>
        <v>99.69844647642367</v>
      </c>
      <c r="T58" s="138" t="s">
        <v>275</v>
      </c>
      <c r="V58" s="93"/>
      <c r="W58" s="93"/>
      <c r="X58" s="93"/>
      <c r="Y58" s="93"/>
      <c r="Z58" s="93"/>
      <c r="AA58" s="93"/>
    </row>
    <row r="59" spans="1:27" ht="15" customHeight="1">
      <c r="A59" s="106"/>
      <c r="B59" s="100">
        <v>14195</v>
      </c>
      <c r="C59" s="106">
        <v>2212</v>
      </c>
      <c r="D59" s="106">
        <v>6121</v>
      </c>
      <c r="E59" s="99">
        <v>57</v>
      </c>
      <c r="F59" s="137" t="s">
        <v>61</v>
      </c>
      <c r="G59" s="103"/>
      <c r="H59" s="104">
        <v>0</v>
      </c>
      <c r="I59" s="104"/>
      <c r="J59" s="104"/>
      <c r="K59" s="104"/>
      <c r="L59" s="104"/>
      <c r="M59" s="104"/>
      <c r="N59" s="104"/>
      <c r="O59" s="104"/>
      <c r="P59" s="104"/>
      <c r="Q59" s="104">
        <v>38846938</v>
      </c>
      <c r="R59" s="104">
        <v>38846938</v>
      </c>
      <c r="S59" s="104">
        <f t="shared" si="3"/>
        <v>100</v>
      </c>
      <c r="T59" s="294" t="s">
        <v>11</v>
      </c>
      <c r="V59" s="93"/>
      <c r="W59" s="93"/>
      <c r="X59" s="93"/>
      <c r="Y59" s="93"/>
      <c r="Z59" s="93"/>
      <c r="AA59" s="93"/>
    </row>
    <row r="60" spans="1:27" ht="15" customHeight="1">
      <c r="A60" s="106"/>
      <c r="B60" s="100">
        <v>15141</v>
      </c>
      <c r="C60" s="106">
        <v>2219</v>
      </c>
      <c r="D60" s="106">
        <v>6121</v>
      </c>
      <c r="E60" s="101">
        <v>58</v>
      </c>
      <c r="F60" s="137" t="s">
        <v>809</v>
      </c>
      <c r="G60" s="103"/>
      <c r="H60" s="104">
        <v>0</v>
      </c>
      <c r="I60" s="104"/>
      <c r="J60" s="104"/>
      <c r="K60" s="104"/>
      <c r="L60" s="104"/>
      <c r="M60" s="104"/>
      <c r="N60" s="104"/>
      <c r="O60" s="104"/>
      <c r="P60" s="104"/>
      <c r="Q60" s="104">
        <v>423473</v>
      </c>
      <c r="R60" s="104">
        <v>401873</v>
      </c>
      <c r="S60" s="104">
        <f t="shared" si="3"/>
        <v>94.89932061784341</v>
      </c>
      <c r="T60" s="105" t="s">
        <v>269</v>
      </c>
      <c r="V60" s="93"/>
      <c r="W60" s="93"/>
      <c r="X60" s="93"/>
      <c r="Y60" s="93"/>
      <c r="Z60" s="93"/>
      <c r="AA60" s="93"/>
    </row>
    <row r="61" spans="1:27" ht="15" customHeight="1">
      <c r="A61" s="106"/>
      <c r="B61" s="100">
        <v>14932</v>
      </c>
      <c r="C61" s="106">
        <v>6409</v>
      </c>
      <c r="D61" s="106">
        <v>6121</v>
      </c>
      <c r="E61" s="99">
        <v>59</v>
      </c>
      <c r="F61" s="137" t="s">
        <v>62</v>
      </c>
      <c r="G61" s="103"/>
      <c r="H61" s="104">
        <v>0</v>
      </c>
      <c r="I61" s="104"/>
      <c r="J61" s="104"/>
      <c r="K61" s="104"/>
      <c r="L61" s="104"/>
      <c r="M61" s="104"/>
      <c r="N61" s="104"/>
      <c r="O61" s="104">
        <v>0</v>
      </c>
      <c r="P61" s="104">
        <v>10000</v>
      </c>
      <c r="Q61" s="104">
        <f>10000-9000</f>
        <v>1000</v>
      </c>
      <c r="R61" s="104">
        <v>100</v>
      </c>
      <c r="S61" s="104">
        <f t="shared" si="3"/>
        <v>10</v>
      </c>
      <c r="T61" s="105" t="s">
        <v>135</v>
      </c>
      <c r="V61" s="93"/>
      <c r="W61" s="93"/>
      <c r="X61" s="93"/>
      <c r="Y61" s="93"/>
      <c r="Z61" s="93"/>
      <c r="AA61" s="93"/>
    </row>
    <row r="62" spans="1:27" ht="15" customHeight="1">
      <c r="A62" s="106">
        <v>4895</v>
      </c>
      <c r="B62" s="100">
        <f>A62+10000</f>
        <v>14895</v>
      </c>
      <c r="C62" s="106">
        <v>2219</v>
      </c>
      <c r="D62" s="106">
        <v>6121</v>
      </c>
      <c r="E62" s="101">
        <v>60</v>
      </c>
      <c r="F62" s="105" t="s">
        <v>63</v>
      </c>
      <c r="G62" s="120">
        <v>2.2</v>
      </c>
      <c r="H62" s="104">
        <f>G62*1000000</f>
        <v>2200000</v>
      </c>
      <c r="I62" s="104"/>
      <c r="J62" s="104"/>
      <c r="K62" s="104"/>
      <c r="L62" s="104"/>
      <c r="M62" s="104"/>
      <c r="N62" s="104"/>
      <c r="O62" s="104">
        <v>2175000</v>
      </c>
      <c r="P62" s="104">
        <v>-24000</v>
      </c>
      <c r="Q62" s="104">
        <v>2165500</v>
      </c>
      <c r="R62" s="104">
        <v>2165110.94</v>
      </c>
      <c r="S62" s="104">
        <f t="shared" si="3"/>
        <v>99.98203371045948</v>
      </c>
      <c r="T62" s="105" t="s">
        <v>135</v>
      </c>
      <c r="W62" s="93"/>
      <c r="X62" s="93"/>
      <c r="Y62" s="93"/>
      <c r="Z62" s="93"/>
      <c r="AA62" s="93"/>
    </row>
    <row r="63" spans="1:27" s="114" customFormat="1" ht="15" customHeight="1">
      <c r="A63" s="99">
        <v>4757</v>
      </c>
      <c r="B63" s="100">
        <f>A63+10000</f>
        <v>14757</v>
      </c>
      <c r="C63" s="99">
        <v>2219</v>
      </c>
      <c r="D63" s="99">
        <v>6121</v>
      </c>
      <c r="E63" s="99">
        <v>61</v>
      </c>
      <c r="F63" s="119" t="s">
        <v>64</v>
      </c>
      <c r="G63" s="112">
        <v>7.8</v>
      </c>
      <c r="H63" s="104">
        <f>G63*1000000</f>
        <v>7800000</v>
      </c>
      <c r="I63" s="104"/>
      <c r="J63" s="104"/>
      <c r="K63" s="104">
        <v>-75000</v>
      </c>
      <c r="L63" s="104"/>
      <c r="M63" s="104"/>
      <c r="N63" s="104"/>
      <c r="O63" s="104">
        <f>H63+I63+J63+K63+L63+M63+N63</f>
        <v>7725000</v>
      </c>
      <c r="P63" s="104"/>
      <c r="Q63" s="104">
        <v>5546000</v>
      </c>
      <c r="R63" s="104">
        <v>4920996.58</v>
      </c>
      <c r="S63" s="104">
        <f t="shared" si="3"/>
        <v>88.73055499459069</v>
      </c>
      <c r="T63" s="113" t="s">
        <v>135</v>
      </c>
      <c r="U63" s="92"/>
      <c r="W63" s="92"/>
      <c r="X63" s="92"/>
      <c r="Y63" s="92"/>
      <c r="Z63" s="92"/>
      <c r="AA63" s="92"/>
    </row>
    <row r="64" spans="1:27" s="114" customFormat="1" ht="15" customHeight="1">
      <c r="A64" s="99"/>
      <c r="B64" s="100">
        <v>14245</v>
      </c>
      <c r="C64" s="99">
        <v>2212</v>
      </c>
      <c r="D64" s="99">
        <v>6121</v>
      </c>
      <c r="E64" s="101">
        <v>62</v>
      </c>
      <c r="F64" s="119" t="s">
        <v>65</v>
      </c>
      <c r="G64" s="112"/>
      <c r="H64" s="104">
        <v>0</v>
      </c>
      <c r="I64" s="104"/>
      <c r="J64" s="104"/>
      <c r="K64" s="104"/>
      <c r="L64" s="104"/>
      <c r="M64" s="104"/>
      <c r="N64" s="104"/>
      <c r="O64" s="104"/>
      <c r="P64" s="104"/>
      <c r="Q64" s="104">
        <v>28000</v>
      </c>
      <c r="R64" s="104">
        <f>11250+133</f>
        <v>11383</v>
      </c>
      <c r="S64" s="104">
        <f t="shared" si="3"/>
        <v>40.653571428571425</v>
      </c>
      <c r="T64" s="113" t="s">
        <v>135</v>
      </c>
      <c r="U64" s="92"/>
      <c r="W64" s="92"/>
      <c r="X64" s="92"/>
      <c r="Y64" s="92"/>
      <c r="Z64" s="92"/>
      <c r="AA64" s="92"/>
    </row>
    <row r="65" spans="1:27" s="114" customFormat="1" ht="15" customHeight="1">
      <c r="A65" s="99">
        <v>4858</v>
      </c>
      <c r="B65" s="100">
        <f>A65+10000</f>
        <v>14858</v>
      </c>
      <c r="C65" s="99">
        <v>2219</v>
      </c>
      <c r="D65" s="99">
        <v>6121</v>
      </c>
      <c r="E65" s="99">
        <v>63</v>
      </c>
      <c r="F65" s="119" t="s">
        <v>430</v>
      </c>
      <c r="G65" s="112">
        <v>9.5</v>
      </c>
      <c r="H65" s="104">
        <f>G65*1000000</f>
        <v>9500000</v>
      </c>
      <c r="I65" s="104"/>
      <c r="J65" s="104"/>
      <c r="K65" s="104">
        <v>-95000</v>
      </c>
      <c r="L65" s="104"/>
      <c r="M65" s="104"/>
      <c r="N65" s="104"/>
      <c r="O65" s="104">
        <f>H65+I65+J65+K65+L65+M65+N65</f>
        <v>9405000</v>
      </c>
      <c r="P65" s="104"/>
      <c r="Q65" s="104">
        <v>6320500</v>
      </c>
      <c r="R65" s="104">
        <v>6162044.92</v>
      </c>
      <c r="S65" s="104">
        <f>R65/Q65*100</f>
        <v>97.4929977058777</v>
      </c>
      <c r="T65" s="113" t="s">
        <v>135</v>
      </c>
      <c r="U65" s="92"/>
      <c r="W65" s="92"/>
      <c r="X65" s="92"/>
      <c r="Y65" s="92"/>
      <c r="Z65" s="92"/>
      <c r="AA65" s="92"/>
    </row>
    <row r="66" spans="1:27" ht="15" customHeight="1">
      <c r="A66" s="106">
        <v>4927</v>
      </c>
      <c r="B66" s="100">
        <f>A66+10000</f>
        <v>14927</v>
      </c>
      <c r="C66" s="106">
        <v>2141</v>
      </c>
      <c r="D66" s="106">
        <v>6122</v>
      </c>
      <c r="E66" s="101">
        <v>64</v>
      </c>
      <c r="F66" s="105" t="s">
        <v>431</v>
      </c>
      <c r="G66" s="103">
        <v>2.17</v>
      </c>
      <c r="H66" s="104">
        <f>G66*1000000</f>
        <v>2170000</v>
      </c>
      <c r="I66" s="104"/>
      <c r="J66" s="104"/>
      <c r="K66" s="104"/>
      <c r="L66" s="104"/>
      <c r="M66" s="104"/>
      <c r="N66" s="104"/>
      <c r="O66" s="104">
        <v>1000</v>
      </c>
      <c r="P66" s="104"/>
      <c r="Q66" s="104">
        <v>0</v>
      </c>
      <c r="R66" s="104">
        <v>0</v>
      </c>
      <c r="S66" s="104">
        <v>0</v>
      </c>
      <c r="T66" s="139" t="s">
        <v>53</v>
      </c>
      <c r="U66" s="131"/>
      <c r="V66" s="93"/>
      <c r="W66" s="93"/>
      <c r="X66" s="93"/>
      <c r="Y66" s="93"/>
      <c r="Z66" s="93"/>
      <c r="AA66" s="93"/>
    </row>
    <row r="67" spans="1:27" ht="15" customHeight="1">
      <c r="A67" s="106"/>
      <c r="B67" s="100">
        <v>15128</v>
      </c>
      <c r="C67" s="106">
        <v>3421</v>
      </c>
      <c r="D67" s="106">
        <v>6121</v>
      </c>
      <c r="E67" s="99">
        <v>65</v>
      </c>
      <c r="F67" s="105" t="s">
        <v>432</v>
      </c>
      <c r="G67" s="103"/>
      <c r="H67" s="104">
        <v>0</v>
      </c>
      <c r="I67" s="104"/>
      <c r="J67" s="104"/>
      <c r="K67" s="104"/>
      <c r="L67" s="104"/>
      <c r="M67" s="104"/>
      <c r="N67" s="104"/>
      <c r="O67" s="104"/>
      <c r="P67" s="104"/>
      <c r="Q67" s="104">
        <v>415500</v>
      </c>
      <c r="R67" s="104">
        <v>415500</v>
      </c>
      <c r="S67" s="104">
        <f>R67/Q67*100</f>
        <v>100</v>
      </c>
      <c r="T67" s="109" t="s">
        <v>135</v>
      </c>
      <c r="U67" s="131"/>
      <c r="V67" s="93"/>
      <c r="W67" s="93"/>
      <c r="X67" s="93"/>
      <c r="Y67" s="93"/>
      <c r="Z67" s="93"/>
      <c r="AA67" s="93"/>
    </row>
    <row r="68" spans="1:27" ht="15" customHeight="1">
      <c r="A68" s="106">
        <v>4799</v>
      </c>
      <c r="B68" s="100">
        <f>A68+10000</f>
        <v>14799</v>
      </c>
      <c r="C68" s="106">
        <v>2212</v>
      </c>
      <c r="D68" s="106">
        <v>6121</v>
      </c>
      <c r="E68" s="101">
        <v>66</v>
      </c>
      <c r="F68" s="132" t="s">
        <v>433</v>
      </c>
      <c r="G68" s="103">
        <v>3.7</v>
      </c>
      <c r="H68" s="104">
        <f>G68*1000000</f>
        <v>3700000</v>
      </c>
      <c r="I68" s="104"/>
      <c r="J68" s="104"/>
      <c r="K68" s="104"/>
      <c r="L68" s="104"/>
      <c r="M68" s="104"/>
      <c r="N68" s="104"/>
      <c r="O68" s="104">
        <v>3692000</v>
      </c>
      <c r="P68" s="104">
        <v>-284000</v>
      </c>
      <c r="Q68" s="104">
        <v>3406500</v>
      </c>
      <c r="R68" s="104">
        <v>3406345</v>
      </c>
      <c r="S68" s="104">
        <f>R68/Q68*100</f>
        <v>99.99544987523852</v>
      </c>
      <c r="T68" s="109" t="s">
        <v>135</v>
      </c>
      <c r="U68" s="110"/>
      <c r="V68" s="93"/>
      <c r="W68" s="93"/>
      <c r="X68" s="93"/>
      <c r="Y68" s="93"/>
      <c r="Z68" s="93"/>
      <c r="AA68" s="93"/>
    </row>
    <row r="69" spans="1:27" ht="15" customHeight="1">
      <c r="A69" s="106">
        <v>4522</v>
      </c>
      <c r="B69" s="100">
        <f>A69+10000</f>
        <v>14522</v>
      </c>
      <c r="C69" s="106">
        <v>2212</v>
      </c>
      <c r="D69" s="106">
        <v>6121</v>
      </c>
      <c r="E69" s="99">
        <v>67</v>
      </c>
      <c r="F69" s="132" t="s">
        <v>963</v>
      </c>
      <c r="G69" s="108">
        <v>14.5</v>
      </c>
      <c r="H69" s="104">
        <v>14500000</v>
      </c>
      <c r="I69" s="104">
        <v>205000</v>
      </c>
      <c r="J69" s="104"/>
      <c r="K69" s="104"/>
      <c r="L69" s="104"/>
      <c r="M69" s="104"/>
      <c r="N69" s="104"/>
      <c r="O69" s="104">
        <f>H69+I69+J69+K69+L69+M69+N69</f>
        <v>14705000</v>
      </c>
      <c r="P69" s="104"/>
      <c r="Q69" s="104">
        <v>14765000</v>
      </c>
      <c r="R69" s="104">
        <v>14761475.64</v>
      </c>
      <c r="S69" s="104">
        <f>R69/Q69*100</f>
        <v>99.97613030816119</v>
      </c>
      <c r="T69" s="109" t="s">
        <v>135</v>
      </c>
      <c r="U69" s="110"/>
      <c r="W69" s="93"/>
      <c r="X69" s="93"/>
      <c r="Y69" s="93"/>
      <c r="Z69" s="93"/>
      <c r="AA69" s="93"/>
    </row>
    <row r="70" spans="1:27" ht="15" customHeight="1">
      <c r="A70" s="106">
        <v>4459</v>
      </c>
      <c r="B70" s="100">
        <f>A70+10000</f>
        <v>14459</v>
      </c>
      <c r="C70" s="106">
        <v>2212</v>
      </c>
      <c r="D70" s="106">
        <v>6121</v>
      </c>
      <c r="E70" s="101">
        <v>68</v>
      </c>
      <c r="F70" s="105" t="s">
        <v>964</v>
      </c>
      <c r="G70" s="112">
        <v>1</v>
      </c>
      <c r="H70" s="104">
        <f>G70*1000000</f>
        <v>1000000</v>
      </c>
      <c r="I70" s="104"/>
      <c r="J70" s="104"/>
      <c r="K70" s="104"/>
      <c r="L70" s="104"/>
      <c r="M70" s="104"/>
      <c r="N70" s="104"/>
      <c r="O70" s="104">
        <f>H70+I70+J70+K70+L70+M70+N70</f>
        <v>1000000</v>
      </c>
      <c r="P70" s="104"/>
      <c r="Q70" s="104">
        <v>1000000</v>
      </c>
      <c r="R70" s="104">
        <v>983927</v>
      </c>
      <c r="S70" s="104">
        <f>R70/Q70*100</f>
        <v>98.3927</v>
      </c>
      <c r="T70" s="109" t="s">
        <v>135</v>
      </c>
      <c r="U70" s="131"/>
      <c r="V70" s="93"/>
      <c r="W70" s="93"/>
      <c r="X70" s="93"/>
      <c r="Y70" s="93"/>
      <c r="Z70" s="93"/>
      <c r="AA70" s="93"/>
    </row>
    <row r="71" spans="1:27" ht="15" customHeight="1">
      <c r="A71" s="101"/>
      <c r="B71" s="100">
        <v>14460</v>
      </c>
      <c r="C71" s="106">
        <v>2212</v>
      </c>
      <c r="D71" s="106">
        <v>6121</v>
      </c>
      <c r="E71" s="99">
        <v>69</v>
      </c>
      <c r="F71" s="102" t="s">
        <v>469</v>
      </c>
      <c r="G71" s="112"/>
      <c r="H71" s="104">
        <v>0</v>
      </c>
      <c r="I71" s="104"/>
      <c r="J71" s="104"/>
      <c r="K71" s="104"/>
      <c r="L71" s="104"/>
      <c r="M71" s="104"/>
      <c r="N71" s="104"/>
      <c r="O71" s="104"/>
      <c r="P71" s="104"/>
      <c r="Q71" s="104">
        <v>6000</v>
      </c>
      <c r="R71" s="104">
        <v>5500</v>
      </c>
      <c r="S71" s="104">
        <f>R71/Q71*100</f>
        <v>91.66666666666666</v>
      </c>
      <c r="T71" s="109" t="s">
        <v>135</v>
      </c>
      <c r="U71" s="131"/>
      <c r="V71" s="93"/>
      <c r="W71" s="93"/>
      <c r="X71" s="93"/>
      <c r="Y71" s="93"/>
      <c r="Z71" s="93"/>
      <c r="AA71" s="93"/>
    </row>
    <row r="72" spans="1:27" ht="15" customHeight="1">
      <c r="A72" s="101">
        <v>4948</v>
      </c>
      <c r="B72" s="100">
        <f>A72+10000</f>
        <v>14948</v>
      </c>
      <c r="C72" s="106">
        <v>2219</v>
      </c>
      <c r="D72" s="106">
        <v>6121</v>
      </c>
      <c r="E72" s="101">
        <v>70</v>
      </c>
      <c r="F72" s="111" t="s">
        <v>965</v>
      </c>
      <c r="G72" s="112">
        <v>1.5</v>
      </c>
      <c r="H72" s="104">
        <f>G72*1000000</f>
        <v>1500000</v>
      </c>
      <c r="I72" s="104"/>
      <c r="J72" s="104"/>
      <c r="K72" s="104"/>
      <c r="L72" s="104"/>
      <c r="M72" s="104"/>
      <c r="N72" s="104"/>
      <c r="O72" s="104">
        <f>H72+I72+J72+K72+L72+M72+N72</f>
        <v>1500000</v>
      </c>
      <c r="P72" s="104"/>
      <c r="Q72" s="104">
        <v>0</v>
      </c>
      <c r="R72" s="104">
        <v>0</v>
      </c>
      <c r="S72" s="104">
        <v>0</v>
      </c>
      <c r="T72" s="109" t="s">
        <v>135</v>
      </c>
      <c r="U72" s="140"/>
      <c r="V72" s="93"/>
      <c r="W72" s="93"/>
      <c r="X72" s="93"/>
      <c r="Y72" s="93"/>
      <c r="Z72" s="93"/>
      <c r="AA72" s="93"/>
    </row>
    <row r="73" spans="1:27" ht="15" customHeight="1">
      <c r="A73" s="101"/>
      <c r="B73" s="100">
        <v>14980</v>
      </c>
      <c r="C73" s="106">
        <v>2219</v>
      </c>
      <c r="D73" s="106">
        <v>6121</v>
      </c>
      <c r="E73" s="99">
        <v>71</v>
      </c>
      <c r="F73" s="111" t="s">
        <v>966</v>
      </c>
      <c r="G73" s="112"/>
      <c r="H73" s="104">
        <v>0</v>
      </c>
      <c r="I73" s="104"/>
      <c r="J73" s="104"/>
      <c r="K73" s="104"/>
      <c r="L73" s="104"/>
      <c r="M73" s="104"/>
      <c r="N73" s="104"/>
      <c r="O73" s="104">
        <v>0</v>
      </c>
      <c r="P73" s="104">
        <v>15000</v>
      </c>
      <c r="Q73" s="104">
        <v>2155000</v>
      </c>
      <c r="R73" s="104">
        <v>2096875</v>
      </c>
      <c r="S73" s="104">
        <f aca="true" t="shared" si="4" ref="S73:S79">R73/Q73*100</f>
        <v>97.30278422273781</v>
      </c>
      <c r="T73" s="109" t="s">
        <v>135</v>
      </c>
      <c r="U73" s="140"/>
      <c r="V73" s="93"/>
      <c r="W73" s="93"/>
      <c r="X73" s="93"/>
      <c r="Y73" s="93"/>
      <c r="Z73" s="93"/>
      <c r="AA73" s="93"/>
    </row>
    <row r="74" spans="1:27" ht="15" customHeight="1">
      <c r="A74" s="101"/>
      <c r="B74" s="100">
        <v>10865</v>
      </c>
      <c r="C74" s="106">
        <v>3631</v>
      </c>
      <c r="D74" s="106">
        <v>6121</v>
      </c>
      <c r="E74" s="101">
        <v>72</v>
      </c>
      <c r="F74" s="111" t="s">
        <v>967</v>
      </c>
      <c r="G74" s="112"/>
      <c r="H74" s="104">
        <v>0</v>
      </c>
      <c r="I74" s="104"/>
      <c r="J74" s="104"/>
      <c r="K74" s="104"/>
      <c r="L74" s="104"/>
      <c r="M74" s="104"/>
      <c r="N74" s="104"/>
      <c r="O74" s="104">
        <v>220000</v>
      </c>
      <c r="P74" s="104"/>
      <c r="Q74" s="104">
        <v>220000</v>
      </c>
      <c r="R74" s="104">
        <v>219148.7</v>
      </c>
      <c r="S74" s="104">
        <f t="shared" si="4"/>
        <v>99.61304545454546</v>
      </c>
      <c r="T74" s="109" t="s">
        <v>135</v>
      </c>
      <c r="U74" s="140"/>
      <c r="V74" s="93"/>
      <c r="W74" s="93"/>
      <c r="X74" s="93"/>
      <c r="Y74" s="93"/>
      <c r="Z74" s="93"/>
      <c r="AA74" s="93"/>
    </row>
    <row r="75" spans="1:27" ht="15" customHeight="1">
      <c r="A75" s="101"/>
      <c r="B75" s="100">
        <v>15116</v>
      </c>
      <c r="C75" s="106">
        <v>2219</v>
      </c>
      <c r="D75" s="106">
        <v>6121</v>
      </c>
      <c r="E75" s="99">
        <v>73</v>
      </c>
      <c r="F75" s="111" t="s">
        <v>968</v>
      </c>
      <c r="G75" s="112"/>
      <c r="H75" s="104">
        <v>0</v>
      </c>
      <c r="I75" s="104"/>
      <c r="J75" s="104"/>
      <c r="K75" s="104"/>
      <c r="L75" s="104"/>
      <c r="M75" s="104"/>
      <c r="N75" s="104"/>
      <c r="O75" s="104"/>
      <c r="P75" s="104"/>
      <c r="Q75" s="104">
        <v>634098</v>
      </c>
      <c r="R75" s="104">
        <v>634098</v>
      </c>
      <c r="S75" s="104">
        <f t="shared" si="4"/>
        <v>100</v>
      </c>
      <c r="T75" s="109" t="s">
        <v>969</v>
      </c>
      <c r="U75" s="140"/>
      <c r="V75" s="93"/>
      <c r="W75" s="93"/>
      <c r="X75" s="93"/>
      <c r="Y75" s="93"/>
      <c r="Z75" s="93"/>
      <c r="AA75" s="93"/>
    </row>
    <row r="76" spans="1:27" ht="15" customHeight="1">
      <c r="A76" s="106">
        <v>1003</v>
      </c>
      <c r="B76" s="100">
        <f>A76+10000</f>
        <v>11003</v>
      </c>
      <c r="C76" s="106">
        <v>2219</v>
      </c>
      <c r="D76" s="106">
        <v>6121</v>
      </c>
      <c r="E76" s="101">
        <v>74</v>
      </c>
      <c r="F76" s="105" t="s">
        <v>970</v>
      </c>
      <c r="G76" s="120">
        <v>1.45</v>
      </c>
      <c r="H76" s="104">
        <f>G76*1000000</f>
        <v>1450000</v>
      </c>
      <c r="I76" s="104"/>
      <c r="J76" s="104"/>
      <c r="K76" s="104"/>
      <c r="L76" s="104"/>
      <c r="M76" s="104"/>
      <c r="N76" s="104"/>
      <c r="O76" s="104">
        <f>H76+I76+J76+K76+L76+M76+N76</f>
        <v>1450000</v>
      </c>
      <c r="P76" s="104"/>
      <c r="Q76" s="104">
        <v>1450000</v>
      </c>
      <c r="R76" s="104">
        <v>1445986</v>
      </c>
      <c r="S76" s="104">
        <f t="shared" si="4"/>
        <v>99.72317241379311</v>
      </c>
      <c r="T76" s="105" t="s">
        <v>135</v>
      </c>
      <c r="W76" s="93"/>
      <c r="X76" s="93"/>
      <c r="Y76" s="93"/>
      <c r="Z76" s="93"/>
      <c r="AA76" s="93"/>
    </row>
    <row r="77" spans="1:27" ht="15" customHeight="1">
      <c r="A77" s="106"/>
      <c r="B77" s="100">
        <v>15132</v>
      </c>
      <c r="C77" s="106">
        <v>3421</v>
      </c>
      <c r="D77" s="106">
        <v>6121</v>
      </c>
      <c r="E77" s="99">
        <v>75</v>
      </c>
      <c r="F77" s="105" t="s">
        <v>971</v>
      </c>
      <c r="G77" s="120"/>
      <c r="H77" s="104">
        <v>0</v>
      </c>
      <c r="I77" s="104"/>
      <c r="J77" s="104"/>
      <c r="K77" s="104"/>
      <c r="L77" s="104"/>
      <c r="M77" s="104"/>
      <c r="N77" s="104"/>
      <c r="O77" s="104"/>
      <c r="P77" s="104"/>
      <c r="Q77" s="104">
        <v>597500</v>
      </c>
      <c r="R77" s="104">
        <v>597214.8</v>
      </c>
      <c r="S77" s="104">
        <f t="shared" si="4"/>
        <v>99.95226778242679</v>
      </c>
      <c r="T77" s="105" t="s">
        <v>135</v>
      </c>
      <c r="W77" s="93"/>
      <c r="X77" s="93"/>
      <c r="Y77" s="93"/>
      <c r="Z77" s="93"/>
      <c r="AA77" s="93"/>
    </row>
    <row r="78" spans="1:27" ht="15" customHeight="1">
      <c r="A78" s="106"/>
      <c r="B78" s="100">
        <v>15112</v>
      </c>
      <c r="C78" s="106">
        <v>3419</v>
      </c>
      <c r="D78" s="106">
        <v>6121</v>
      </c>
      <c r="E78" s="101">
        <v>76</v>
      </c>
      <c r="F78" s="105" t="s">
        <v>972</v>
      </c>
      <c r="G78" s="120"/>
      <c r="H78" s="104">
        <v>0</v>
      </c>
      <c r="I78" s="104"/>
      <c r="J78" s="104"/>
      <c r="K78" s="104"/>
      <c r="L78" s="104"/>
      <c r="M78" s="104"/>
      <c r="N78" s="104"/>
      <c r="O78" s="104">
        <v>0</v>
      </c>
      <c r="P78" s="104">
        <v>1920000</v>
      </c>
      <c r="Q78" s="104">
        <v>1983500</v>
      </c>
      <c r="R78" s="104">
        <v>1983284</v>
      </c>
      <c r="S78" s="104">
        <f t="shared" si="4"/>
        <v>99.98911015881018</v>
      </c>
      <c r="T78" s="105" t="s">
        <v>53</v>
      </c>
      <c r="W78" s="93"/>
      <c r="X78" s="93"/>
      <c r="Y78" s="93"/>
      <c r="Z78" s="93"/>
      <c r="AA78" s="93"/>
    </row>
    <row r="79" spans="1:27" s="114" customFormat="1" ht="15" customHeight="1">
      <c r="A79" s="106">
        <v>5049</v>
      </c>
      <c r="B79" s="100">
        <v>14931</v>
      </c>
      <c r="C79" s="106">
        <v>3741</v>
      </c>
      <c r="D79" s="106">
        <v>6121</v>
      </c>
      <c r="E79" s="99">
        <v>77</v>
      </c>
      <c r="F79" s="137" t="s">
        <v>973</v>
      </c>
      <c r="G79" s="103">
        <v>3.2</v>
      </c>
      <c r="H79" s="104">
        <f>G79*1000000</f>
        <v>3200000</v>
      </c>
      <c r="I79" s="104"/>
      <c r="J79" s="104"/>
      <c r="K79" s="104"/>
      <c r="L79" s="104"/>
      <c r="M79" s="104"/>
      <c r="N79" s="104"/>
      <c r="O79" s="104">
        <v>1680000</v>
      </c>
      <c r="P79" s="104"/>
      <c r="Q79" s="104">
        <v>1534000</v>
      </c>
      <c r="R79" s="104">
        <v>1533541</v>
      </c>
      <c r="S79" s="104">
        <f t="shared" si="4"/>
        <v>99.97007822685788</v>
      </c>
      <c r="T79" s="113" t="s">
        <v>135</v>
      </c>
      <c r="U79" s="92"/>
      <c r="W79" s="92"/>
      <c r="X79" s="92"/>
      <c r="Y79" s="92"/>
      <c r="Z79" s="92"/>
      <c r="AA79" s="92"/>
    </row>
    <row r="80" spans="1:27" s="114" customFormat="1" ht="15" customHeight="1">
      <c r="A80" s="106"/>
      <c r="B80" s="100">
        <v>15105</v>
      </c>
      <c r="C80" s="106">
        <v>3113</v>
      </c>
      <c r="D80" s="106">
        <v>6121</v>
      </c>
      <c r="E80" s="101">
        <v>78</v>
      </c>
      <c r="F80" s="137" t="s">
        <v>974</v>
      </c>
      <c r="G80" s="141"/>
      <c r="H80" s="104">
        <v>0</v>
      </c>
      <c r="I80" s="104"/>
      <c r="J80" s="104"/>
      <c r="K80" s="104"/>
      <c r="L80" s="104"/>
      <c r="M80" s="104"/>
      <c r="N80" s="104"/>
      <c r="O80" s="104"/>
      <c r="P80" s="104"/>
      <c r="Q80" s="104">
        <v>19000</v>
      </c>
      <c r="R80" s="104">
        <v>18780</v>
      </c>
      <c r="S80" s="104">
        <f aca="true" t="shared" si="5" ref="S80:S85">R80/Q80*100</f>
        <v>98.8421052631579</v>
      </c>
      <c r="T80" s="113" t="s">
        <v>135</v>
      </c>
      <c r="U80" s="92"/>
      <c r="W80" s="92"/>
      <c r="X80" s="92"/>
      <c r="Y80" s="92"/>
      <c r="Z80" s="92"/>
      <c r="AA80" s="92"/>
    </row>
    <row r="81" spans="1:27" s="114" customFormat="1" ht="15" customHeight="1">
      <c r="A81" s="106"/>
      <c r="B81" s="100">
        <v>14989</v>
      </c>
      <c r="C81" s="106">
        <v>3113</v>
      </c>
      <c r="D81" s="106">
        <v>6121</v>
      </c>
      <c r="E81" s="99">
        <v>79</v>
      </c>
      <c r="F81" s="137" t="s">
        <v>388</v>
      </c>
      <c r="G81" s="141"/>
      <c r="H81" s="104">
        <v>0</v>
      </c>
      <c r="I81" s="104"/>
      <c r="J81" s="104"/>
      <c r="K81" s="104"/>
      <c r="L81" s="104"/>
      <c r="M81" s="104"/>
      <c r="N81" s="104"/>
      <c r="O81" s="104"/>
      <c r="P81" s="104"/>
      <c r="Q81" s="104">
        <v>1000</v>
      </c>
      <c r="R81" s="104">
        <v>0</v>
      </c>
      <c r="S81" s="104">
        <f t="shared" si="5"/>
        <v>0</v>
      </c>
      <c r="T81" s="113" t="s">
        <v>135</v>
      </c>
      <c r="U81" s="92"/>
      <c r="W81" s="92"/>
      <c r="X81" s="92"/>
      <c r="Y81" s="92"/>
      <c r="Z81" s="92"/>
      <c r="AA81" s="92"/>
    </row>
    <row r="82" spans="1:27" s="114" customFormat="1" ht="15" customHeight="1">
      <c r="A82" s="106"/>
      <c r="B82" s="100">
        <v>14790</v>
      </c>
      <c r="C82" s="106">
        <v>3113</v>
      </c>
      <c r="D82" s="106">
        <v>6121</v>
      </c>
      <c r="E82" s="101">
        <v>80</v>
      </c>
      <c r="F82" s="137" t="s">
        <v>818</v>
      </c>
      <c r="G82" s="141"/>
      <c r="H82" s="104">
        <v>0</v>
      </c>
      <c r="I82" s="104"/>
      <c r="J82" s="104"/>
      <c r="K82" s="104"/>
      <c r="L82" s="104"/>
      <c r="M82" s="104"/>
      <c r="N82" s="104"/>
      <c r="O82" s="104"/>
      <c r="P82" s="104"/>
      <c r="Q82" s="104">
        <v>1000</v>
      </c>
      <c r="R82" s="104">
        <v>0</v>
      </c>
      <c r="S82" s="104">
        <f t="shared" si="5"/>
        <v>0</v>
      </c>
      <c r="T82" s="113" t="s">
        <v>135</v>
      </c>
      <c r="U82" s="92"/>
      <c r="W82" s="92"/>
      <c r="X82" s="92"/>
      <c r="Y82" s="92"/>
      <c r="Z82" s="92"/>
      <c r="AA82" s="92"/>
    </row>
    <row r="83" spans="1:27" s="114" customFormat="1" ht="15" customHeight="1">
      <c r="A83" s="106"/>
      <c r="B83" s="100">
        <v>14993</v>
      </c>
      <c r="C83" s="106">
        <v>3113</v>
      </c>
      <c r="D83" s="106">
        <v>6121</v>
      </c>
      <c r="E83" s="99">
        <v>81</v>
      </c>
      <c r="F83" s="137" t="s">
        <v>865</v>
      </c>
      <c r="G83" s="141"/>
      <c r="H83" s="104">
        <v>0</v>
      </c>
      <c r="I83" s="104"/>
      <c r="J83" s="104"/>
      <c r="K83" s="104"/>
      <c r="L83" s="104"/>
      <c r="M83" s="104"/>
      <c r="N83" s="104"/>
      <c r="O83" s="104"/>
      <c r="P83" s="104"/>
      <c r="Q83" s="104">
        <v>1000</v>
      </c>
      <c r="R83" s="104">
        <v>0</v>
      </c>
      <c r="S83" s="104">
        <f t="shared" si="5"/>
        <v>0</v>
      </c>
      <c r="T83" s="113" t="s">
        <v>135</v>
      </c>
      <c r="U83" s="92"/>
      <c r="W83" s="92"/>
      <c r="X83" s="92"/>
      <c r="Y83" s="92"/>
      <c r="Z83" s="92"/>
      <c r="AA83" s="92"/>
    </row>
    <row r="84" spans="1:27" s="114" customFormat="1" ht="15" customHeight="1">
      <c r="A84" s="106"/>
      <c r="B84" s="100">
        <v>14991</v>
      </c>
      <c r="C84" s="106">
        <v>3113</v>
      </c>
      <c r="D84" s="106">
        <v>6121</v>
      </c>
      <c r="E84" s="101">
        <v>82</v>
      </c>
      <c r="F84" s="137" t="s">
        <v>745</v>
      </c>
      <c r="G84" s="141"/>
      <c r="H84" s="104">
        <v>0</v>
      </c>
      <c r="I84" s="104"/>
      <c r="J84" s="104"/>
      <c r="K84" s="104"/>
      <c r="L84" s="104"/>
      <c r="M84" s="104"/>
      <c r="N84" s="104"/>
      <c r="O84" s="104"/>
      <c r="P84" s="104"/>
      <c r="Q84" s="104">
        <v>1000</v>
      </c>
      <c r="R84" s="104">
        <v>0</v>
      </c>
      <c r="S84" s="104">
        <f t="shared" si="5"/>
        <v>0</v>
      </c>
      <c r="T84" s="113" t="s">
        <v>135</v>
      </c>
      <c r="U84" s="92"/>
      <c r="W84" s="92"/>
      <c r="X84" s="92"/>
      <c r="Y84" s="92"/>
      <c r="Z84" s="92"/>
      <c r="AA84" s="92"/>
    </row>
    <row r="85" spans="1:27" s="114" customFormat="1" ht="15" customHeight="1">
      <c r="A85" s="106"/>
      <c r="B85" s="100">
        <v>15124</v>
      </c>
      <c r="C85" s="106">
        <v>3421</v>
      </c>
      <c r="D85" s="106">
        <v>6121</v>
      </c>
      <c r="E85" s="99">
        <v>83</v>
      </c>
      <c r="F85" s="137" t="s">
        <v>975</v>
      </c>
      <c r="G85" s="141"/>
      <c r="H85" s="104">
        <v>0</v>
      </c>
      <c r="I85" s="104"/>
      <c r="J85" s="104"/>
      <c r="K85" s="104"/>
      <c r="L85" s="104"/>
      <c r="M85" s="104"/>
      <c r="N85" s="104"/>
      <c r="O85" s="104"/>
      <c r="P85" s="104"/>
      <c r="Q85" s="104">
        <v>802000</v>
      </c>
      <c r="R85" s="104">
        <v>801772</v>
      </c>
      <c r="S85" s="104">
        <f t="shared" si="5"/>
        <v>99.9715710723192</v>
      </c>
      <c r="T85" s="113" t="s">
        <v>135</v>
      </c>
      <c r="U85" s="92"/>
      <c r="W85" s="92"/>
      <c r="X85" s="92"/>
      <c r="Y85" s="92"/>
      <c r="Z85" s="92"/>
      <c r="AA85" s="92"/>
    </row>
    <row r="86" spans="1:27" ht="15" customHeight="1">
      <c r="A86" s="99"/>
      <c r="B86" s="100">
        <v>14283</v>
      </c>
      <c r="C86" s="99">
        <v>3113</v>
      </c>
      <c r="D86" s="99">
        <v>6121</v>
      </c>
      <c r="E86" s="101">
        <v>84</v>
      </c>
      <c r="F86" s="105" t="s">
        <v>976</v>
      </c>
      <c r="G86" s="141">
        <v>0.05</v>
      </c>
      <c r="H86" s="104">
        <f>G86*1000000</f>
        <v>50000</v>
      </c>
      <c r="I86" s="104"/>
      <c r="J86" s="104"/>
      <c r="K86" s="104"/>
      <c r="L86" s="104"/>
      <c r="M86" s="104"/>
      <c r="N86" s="104"/>
      <c r="O86" s="104">
        <f>H86+I86+J86+K86+L86+M86+N86</f>
        <v>50000</v>
      </c>
      <c r="P86" s="104"/>
      <c r="Q86" s="104">
        <v>50000</v>
      </c>
      <c r="R86" s="104">
        <v>43950.7</v>
      </c>
      <c r="S86" s="104">
        <f>R86/Q86*100</f>
        <v>87.9014</v>
      </c>
      <c r="T86" s="105" t="s">
        <v>135</v>
      </c>
      <c r="W86" s="93"/>
      <c r="X86" s="93"/>
      <c r="Y86" s="93"/>
      <c r="Z86" s="93"/>
      <c r="AA86" s="93"/>
    </row>
    <row r="87" spans="1:27" ht="15" customHeight="1">
      <c r="A87" s="106">
        <v>4899</v>
      </c>
      <c r="B87" s="100">
        <f>A87+10000</f>
        <v>14899</v>
      </c>
      <c r="C87" s="106">
        <v>3113</v>
      </c>
      <c r="D87" s="106">
        <v>6121</v>
      </c>
      <c r="E87" s="99">
        <v>85</v>
      </c>
      <c r="F87" s="132" t="s">
        <v>977</v>
      </c>
      <c r="G87" s="108">
        <v>8</v>
      </c>
      <c r="H87" s="104">
        <v>8000000</v>
      </c>
      <c r="I87" s="104"/>
      <c r="J87" s="104"/>
      <c r="K87" s="104"/>
      <c r="L87" s="104"/>
      <c r="M87" s="104"/>
      <c r="N87" s="104"/>
      <c r="O87" s="104">
        <f>H87+I87+J87+K87+L87+M87+N87</f>
        <v>8000000</v>
      </c>
      <c r="P87" s="104"/>
      <c r="Q87" s="104">
        <f>7762000-2000</f>
        <v>7760000</v>
      </c>
      <c r="R87" s="104">
        <v>7759647</v>
      </c>
      <c r="S87" s="104">
        <f>R87/Q87*100</f>
        <v>99.99545103092784</v>
      </c>
      <c r="T87" s="109" t="s">
        <v>135</v>
      </c>
      <c r="U87" s="110"/>
      <c r="W87" s="93"/>
      <c r="X87" s="93"/>
      <c r="Y87" s="93"/>
      <c r="Z87" s="93"/>
      <c r="AA87" s="93"/>
    </row>
    <row r="88" spans="1:27" ht="15" customHeight="1" thickBot="1">
      <c r="A88" s="106">
        <v>4343</v>
      </c>
      <c r="B88" s="100">
        <f>A88+10000</f>
        <v>14343</v>
      </c>
      <c r="C88" s="106">
        <v>3113</v>
      </c>
      <c r="D88" s="106">
        <v>6121</v>
      </c>
      <c r="E88" s="101">
        <v>86</v>
      </c>
      <c r="F88" s="136" t="s">
        <v>978</v>
      </c>
      <c r="G88" s="112">
        <v>7.3</v>
      </c>
      <c r="H88" s="104">
        <f>G88*1000000</f>
        <v>7300000</v>
      </c>
      <c r="I88" s="104"/>
      <c r="J88" s="104"/>
      <c r="K88" s="104"/>
      <c r="L88" s="104"/>
      <c r="M88" s="104"/>
      <c r="N88" s="104"/>
      <c r="O88" s="104">
        <f>H88+I88+J88+K88+L88+M88+N88</f>
        <v>7300000</v>
      </c>
      <c r="P88" s="104"/>
      <c r="Q88" s="104">
        <v>7158000</v>
      </c>
      <c r="R88" s="104">
        <v>7157535</v>
      </c>
      <c r="S88" s="104">
        <f>R88/Q88*100</f>
        <v>99.99350377200335</v>
      </c>
      <c r="T88" s="109" t="s">
        <v>135</v>
      </c>
      <c r="U88" s="116"/>
      <c r="V88" s="93"/>
      <c r="W88" s="93"/>
      <c r="X88" s="93"/>
      <c r="Y88" s="93"/>
      <c r="Z88" s="93"/>
      <c r="AA88" s="93"/>
    </row>
    <row r="89" spans="1:27" s="149" customFormat="1" ht="15" customHeight="1" thickBot="1">
      <c r="A89" s="142"/>
      <c r="B89" s="143"/>
      <c r="C89" s="143"/>
      <c r="D89" s="143"/>
      <c r="E89" s="143"/>
      <c r="F89" s="144" t="s">
        <v>979</v>
      </c>
      <c r="G89" s="145">
        <f>SUM(G4:G88)</f>
        <v>365.12</v>
      </c>
      <c r="H89" s="146">
        <f>SUM(H3:H88)</f>
        <v>372220000</v>
      </c>
      <c r="I89" s="146">
        <f aca="true" t="shared" si="6" ref="I89:P89">SUM(I4:I88)</f>
        <v>9005000</v>
      </c>
      <c r="J89" s="146">
        <f t="shared" si="6"/>
        <v>1520000</v>
      </c>
      <c r="K89" s="146">
        <f t="shared" si="6"/>
        <v>1837000</v>
      </c>
      <c r="L89" s="146">
        <f t="shared" si="6"/>
        <v>20000</v>
      </c>
      <c r="M89" s="146">
        <f t="shared" si="6"/>
        <v>-102000</v>
      </c>
      <c r="N89" s="146">
        <f t="shared" si="6"/>
        <v>-2855000</v>
      </c>
      <c r="O89" s="146">
        <f t="shared" si="6"/>
        <v>380024000</v>
      </c>
      <c r="P89" s="146">
        <f t="shared" si="6"/>
        <v>3236306</v>
      </c>
      <c r="Q89" s="146">
        <f>SUM(Q3:Q88)</f>
        <v>379524148.78</v>
      </c>
      <c r="R89" s="146">
        <f>SUM(R3:R88)</f>
        <v>377352468.35999995</v>
      </c>
      <c r="S89" s="146">
        <f>R89/Q89*100</f>
        <v>99.4277886066062</v>
      </c>
      <c r="T89" s="147"/>
      <c r="U89" s="148"/>
      <c r="W89" s="148"/>
      <c r="X89" s="148"/>
      <c r="Y89" s="148"/>
      <c r="Z89" s="148"/>
      <c r="AA89" s="148"/>
    </row>
    <row r="90" spans="1:27" s="114" customFormat="1" ht="15" customHeight="1">
      <c r="A90" s="150"/>
      <c r="B90" s="150"/>
      <c r="C90" s="150"/>
      <c r="D90" s="150"/>
      <c r="E90" s="150"/>
      <c r="F90" s="151"/>
      <c r="G90" s="90"/>
      <c r="H90" s="90"/>
      <c r="I90" s="90"/>
      <c r="J90" s="90"/>
      <c r="K90" s="90"/>
      <c r="L90" s="90"/>
      <c r="M90" s="90"/>
      <c r="N90" s="90"/>
      <c r="O90" s="90"/>
      <c r="P90" s="90"/>
      <c r="Q90" s="90"/>
      <c r="R90" s="90"/>
      <c r="S90" s="90"/>
      <c r="T90" s="152"/>
      <c r="U90" s="92"/>
      <c r="V90" s="92"/>
      <c r="W90" s="92"/>
      <c r="X90" s="92"/>
      <c r="Y90" s="92"/>
      <c r="Z90" s="92"/>
      <c r="AA90" s="92"/>
    </row>
    <row r="91" spans="7:27" ht="15" customHeight="1">
      <c r="G91" s="155"/>
      <c r="H91" s="155"/>
      <c r="I91" s="155"/>
      <c r="J91" s="155"/>
      <c r="K91" s="155"/>
      <c r="L91" s="155"/>
      <c r="M91" s="155"/>
      <c r="N91" s="155"/>
      <c r="O91" s="155"/>
      <c r="P91" s="155"/>
      <c r="Q91" s="155"/>
      <c r="R91" s="155"/>
      <c r="S91" s="155"/>
      <c r="V91" s="93"/>
      <c r="W91" s="93"/>
      <c r="X91" s="93"/>
      <c r="Y91" s="93"/>
      <c r="Z91" s="93"/>
      <c r="AA91" s="93"/>
    </row>
    <row r="92" spans="22:27" ht="12.75">
      <c r="V92" s="93"/>
      <c r="W92" s="93"/>
      <c r="X92" s="93"/>
      <c r="Y92" s="93"/>
      <c r="Z92" s="93"/>
      <c r="AA92" s="93"/>
    </row>
    <row r="97" ht="12.75">
      <c r="H97" s="156" t="e">
        <f>#REF!+#REF!+#REF!+#REF!+#REF!+H89</f>
        <v>#REF!</v>
      </c>
    </row>
  </sheetData>
  <printOptions/>
  <pageMargins left="0.37" right="0.17" top="0.82" bottom="0.984251968503937" header="0.52" footer="0.5118110236220472"/>
  <pageSetup firstPageNumber="1" useFirstPageNumber="1" horizontalDpi="300" verticalDpi="300" orientation="landscape" paperSize="9" scale="80" r:id="rId2"/>
  <headerFooter alignWithMargins="0">
    <oddHeader>&amp;Lv Kč&amp;C&amp;"Arial,Tučné"
Schválený rozpočet investičních akcí na rok 2010 - individuální příslib&amp;R&amp;"Arial,Tučné"ČÁST B: příloha č. 8</oddHeader>
    <oddFooter>&amp;C&amp;8&amp;P</oddFooter>
  </headerFooter>
  <drawing r:id="rId1"/>
</worksheet>
</file>

<file path=xl/worksheets/sheet25.xml><?xml version="1.0" encoding="utf-8"?>
<worksheet xmlns="http://schemas.openxmlformats.org/spreadsheetml/2006/main" xmlns:r="http://schemas.openxmlformats.org/officeDocument/2006/relationships">
  <sheetPr>
    <tabColor indexed="42"/>
  </sheetPr>
  <dimension ref="A1:Z85"/>
  <sheetViews>
    <sheetView view="pageBreakPreview" zoomScaleSheetLayoutView="100" workbookViewId="0" topLeftCell="A1">
      <pane xSplit="6" ySplit="1" topLeftCell="H32" activePane="bottomRight" state="frozen"/>
      <selection pane="topLeft" activeCell="A1" sqref="A1"/>
      <selection pane="topRight" activeCell="C1" sqref="C1"/>
      <selection pane="bottomLeft" activeCell="A3" sqref="A3"/>
      <selection pane="bottomRight" activeCell="F72" sqref="F72"/>
    </sheetView>
  </sheetViews>
  <sheetFormatPr defaultColWidth="9.140625" defaultRowHeight="12.75"/>
  <cols>
    <col min="1" max="1" width="7.7109375" style="153" hidden="1" customWidth="1"/>
    <col min="2" max="2" width="5.8515625" style="153" customWidth="1"/>
    <col min="3" max="3" width="5.57421875" style="153" customWidth="1"/>
    <col min="4" max="4" width="6.28125" style="153" customWidth="1"/>
    <col min="5" max="5" width="4.7109375" style="153" customWidth="1"/>
    <col min="6" max="6" width="65.28125" style="154" customWidth="1"/>
    <col min="7" max="7" width="4.28125" style="156" hidden="1" customWidth="1"/>
    <col min="8" max="8" width="14.421875" style="156" customWidth="1"/>
    <col min="9" max="12" width="14.421875" style="156" hidden="1" customWidth="1"/>
    <col min="13" max="13" width="12.8515625" style="156" hidden="1" customWidth="1"/>
    <col min="14" max="15" width="13.57421875" style="156" hidden="1" customWidth="1"/>
    <col min="16" max="16" width="13.57421875" style="156" customWidth="1"/>
    <col min="17" max="17" width="12.57421875" style="156" customWidth="1"/>
    <col min="18" max="18" width="7.8515625" style="156" customWidth="1"/>
    <col min="19" max="19" width="30.8515625" style="91" customWidth="1"/>
    <col min="20" max="20" width="22.140625" style="92" customWidth="1"/>
    <col min="21" max="21" width="15.00390625" style="0" customWidth="1"/>
    <col min="22" max="22" width="8.7109375" style="0" customWidth="1"/>
  </cols>
  <sheetData>
    <row r="1" spans="1:19" s="85" customFormat="1" ht="42.75" customHeight="1" thickBot="1">
      <c r="A1" s="82" t="s">
        <v>129</v>
      </c>
      <c r="B1" s="82" t="s">
        <v>129</v>
      </c>
      <c r="C1" s="82" t="s">
        <v>926</v>
      </c>
      <c r="D1" s="82" t="s">
        <v>927</v>
      </c>
      <c r="E1" s="82"/>
      <c r="F1" s="82" t="s">
        <v>928</v>
      </c>
      <c r="G1" s="83" t="s">
        <v>929</v>
      </c>
      <c r="H1" s="83" t="s">
        <v>981</v>
      </c>
      <c r="I1" s="84" t="s">
        <v>931</v>
      </c>
      <c r="J1" s="84" t="s">
        <v>982</v>
      </c>
      <c r="K1" s="84" t="s">
        <v>983</v>
      </c>
      <c r="L1" s="84" t="s">
        <v>984</v>
      </c>
      <c r="M1" s="84" t="s">
        <v>272</v>
      </c>
      <c r="N1" s="83" t="s">
        <v>985</v>
      </c>
      <c r="O1" s="83" t="s">
        <v>274</v>
      </c>
      <c r="P1" s="83" t="s">
        <v>67</v>
      </c>
      <c r="Q1" s="83" t="s">
        <v>729</v>
      </c>
      <c r="R1" s="83" t="s">
        <v>425</v>
      </c>
      <c r="S1" s="82" t="s">
        <v>180</v>
      </c>
    </row>
    <row r="2" spans="1:26" ht="28.5" customHeight="1">
      <c r="A2" s="86" t="s">
        <v>986</v>
      </c>
      <c r="B2" s="157" t="s">
        <v>986</v>
      </c>
      <c r="C2" s="87"/>
      <c r="D2" s="87"/>
      <c r="E2" s="158"/>
      <c r="F2" s="88"/>
      <c r="G2" s="159"/>
      <c r="H2" s="90"/>
      <c r="I2" s="90"/>
      <c r="J2" s="90"/>
      <c r="K2" s="90"/>
      <c r="L2" s="90"/>
      <c r="M2" s="90"/>
      <c r="N2" s="90"/>
      <c r="O2" s="90"/>
      <c r="P2" s="90"/>
      <c r="Q2" s="90"/>
      <c r="R2" s="90"/>
      <c r="U2" s="93"/>
      <c r="V2" s="93"/>
      <c r="W2" s="93"/>
      <c r="X2" s="93"/>
      <c r="Y2" s="93"/>
      <c r="Z2" s="93"/>
    </row>
    <row r="3" spans="1:26" s="164" customFormat="1" ht="15" customHeight="1">
      <c r="A3" s="160"/>
      <c r="B3" s="161">
        <v>25068</v>
      </c>
      <c r="C3" s="99">
        <v>4374</v>
      </c>
      <c r="D3" s="99">
        <v>6121</v>
      </c>
      <c r="E3" s="99">
        <v>1</v>
      </c>
      <c r="F3" s="162" t="s">
        <v>134</v>
      </c>
      <c r="G3" s="103"/>
      <c r="H3" s="103">
        <v>0</v>
      </c>
      <c r="I3" s="103"/>
      <c r="J3" s="103">
        <v>24000</v>
      </c>
      <c r="K3" s="103"/>
      <c r="L3" s="103"/>
      <c r="M3" s="133"/>
      <c r="N3" s="120">
        <f>H3+I3+J3+K3+L3+M3+62400</f>
        <v>86400</v>
      </c>
      <c r="O3" s="120"/>
      <c r="P3" s="120">
        <v>140580</v>
      </c>
      <c r="Q3" s="133">
        <v>116580</v>
      </c>
      <c r="R3" s="120">
        <f aca="true" t="shared" si="0" ref="R3:R10">Q3/P3*100</f>
        <v>82.92787025181391</v>
      </c>
      <c r="S3" s="105" t="s">
        <v>135</v>
      </c>
      <c r="T3" s="163"/>
      <c r="U3" s="163"/>
      <c r="V3" s="163"/>
      <c r="W3" s="163"/>
      <c r="X3" s="163"/>
      <c r="Y3" s="163"/>
      <c r="Z3" s="163"/>
    </row>
    <row r="4" spans="1:26" s="114" customFormat="1" ht="15" customHeight="1">
      <c r="A4" s="344"/>
      <c r="B4" s="161">
        <v>25149</v>
      </c>
      <c r="C4" s="167">
        <v>3329</v>
      </c>
      <c r="D4" s="167">
        <v>6121</v>
      </c>
      <c r="E4" s="99">
        <v>2</v>
      </c>
      <c r="F4" s="345" t="s">
        <v>711</v>
      </c>
      <c r="G4" s="141"/>
      <c r="H4" s="141">
        <v>0</v>
      </c>
      <c r="I4" s="141"/>
      <c r="J4" s="141"/>
      <c r="K4" s="141"/>
      <c r="L4" s="141"/>
      <c r="M4" s="346"/>
      <c r="N4" s="120"/>
      <c r="O4" s="169"/>
      <c r="P4" s="120">
        <v>85000</v>
      </c>
      <c r="Q4" s="346">
        <v>82320</v>
      </c>
      <c r="R4" s="120">
        <f t="shared" si="0"/>
        <v>96.84705882352941</v>
      </c>
      <c r="S4" s="105" t="s">
        <v>135</v>
      </c>
      <c r="T4" s="92"/>
      <c r="U4" s="92"/>
      <c r="V4" s="92"/>
      <c r="W4" s="92"/>
      <c r="X4" s="92"/>
      <c r="Y4" s="92"/>
      <c r="Z4" s="92"/>
    </row>
    <row r="5" spans="1:26" ht="15" customHeight="1">
      <c r="A5" s="165">
        <v>4933</v>
      </c>
      <c r="B5" s="166">
        <f>A5+20000</f>
        <v>24933</v>
      </c>
      <c r="C5" s="167">
        <v>2219</v>
      </c>
      <c r="D5" s="167">
        <v>6121</v>
      </c>
      <c r="E5" s="99">
        <v>3</v>
      </c>
      <c r="F5" s="168" t="s">
        <v>987</v>
      </c>
      <c r="G5" s="141">
        <v>0.21</v>
      </c>
      <c r="H5" s="169">
        <f>G5*1000000</f>
        <v>210000</v>
      </c>
      <c r="I5" s="169"/>
      <c r="J5" s="169"/>
      <c r="K5" s="169"/>
      <c r="L5" s="169"/>
      <c r="M5" s="169"/>
      <c r="N5" s="120">
        <f>H5+I5+J5+K5+L5+M5</f>
        <v>210000</v>
      </c>
      <c r="O5" s="169"/>
      <c r="P5" s="120">
        <v>200000</v>
      </c>
      <c r="Q5" s="169">
        <v>199227.5</v>
      </c>
      <c r="R5" s="120">
        <f t="shared" si="0"/>
        <v>99.61375</v>
      </c>
      <c r="S5" s="170" t="s">
        <v>135</v>
      </c>
      <c r="U5" s="93"/>
      <c r="V5" s="93"/>
      <c r="W5" s="93"/>
      <c r="X5" s="93"/>
      <c r="Y5" s="93"/>
      <c r="Z5" s="93"/>
    </row>
    <row r="6" spans="1:26" ht="15" customHeight="1">
      <c r="A6" s="165"/>
      <c r="B6" s="118">
        <v>24393</v>
      </c>
      <c r="C6" s="167">
        <v>3421</v>
      </c>
      <c r="D6" s="167">
        <v>6121</v>
      </c>
      <c r="E6" s="99">
        <v>4</v>
      </c>
      <c r="F6" s="168" t="s">
        <v>988</v>
      </c>
      <c r="G6" s="141"/>
      <c r="H6" s="169">
        <v>0</v>
      </c>
      <c r="I6" s="169"/>
      <c r="J6" s="169"/>
      <c r="K6" s="169"/>
      <c r="L6" s="169"/>
      <c r="M6" s="169"/>
      <c r="N6" s="120"/>
      <c r="O6" s="169"/>
      <c r="P6" s="120">
        <v>200000</v>
      </c>
      <c r="Q6" s="169">
        <v>199800</v>
      </c>
      <c r="R6" s="120">
        <f t="shared" si="0"/>
        <v>99.9</v>
      </c>
      <c r="S6" s="170" t="s">
        <v>135</v>
      </c>
      <c r="U6" s="93"/>
      <c r="V6" s="93"/>
      <c r="W6" s="93"/>
      <c r="X6" s="93"/>
      <c r="Y6" s="93"/>
      <c r="Z6" s="93"/>
    </row>
    <row r="7" spans="1:26" ht="15" customHeight="1">
      <c r="A7" s="99">
        <v>5007</v>
      </c>
      <c r="B7" s="118">
        <f>A7+20000</f>
        <v>25007</v>
      </c>
      <c r="C7" s="99">
        <v>3429</v>
      </c>
      <c r="D7" s="99">
        <v>6121</v>
      </c>
      <c r="E7" s="99">
        <v>5</v>
      </c>
      <c r="F7" s="119" t="s">
        <v>989</v>
      </c>
      <c r="G7" s="103">
        <v>0.35</v>
      </c>
      <c r="H7" s="120">
        <f>G7*1000000</f>
        <v>350000</v>
      </c>
      <c r="I7" s="120"/>
      <c r="J7" s="120"/>
      <c r="K7" s="120"/>
      <c r="L7" s="120">
        <v>10000</v>
      </c>
      <c r="M7" s="120"/>
      <c r="N7" s="120">
        <f>H7+I7+J7+K7+L7+M7</f>
        <v>360000</v>
      </c>
      <c r="O7" s="120"/>
      <c r="P7" s="120">
        <v>277500</v>
      </c>
      <c r="Q7" s="120">
        <v>277440</v>
      </c>
      <c r="R7" s="120">
        <f t="shared" si="0"/>
        <v>99.97837837837838</v>
      </c>
      <c r="S7" s="105" t="s">
        <v>135</v>
      </c>
      <c r="U7" s="93"/>
      <c r="V7" s="93"/>
      <c r="W7" s="93"/>
      <c r="X7" s="93"/>
      <c r="Y7" s="93"/>
      <c r="Z7" s="93"/>
    </row>
    <row r="8" spans="1:26" ht="15" customHeight="1">
      <c r="A8" s="99"/>
      <c r="B8" s="118">
        <v>24996</v>
      </c>
      <c r="C8" s="99">
        <v>6171</v>
      </c>
      <c r="D8" s="99">
        <v>6121</v>
      </c>
      <c r="E8" s="99">
        <v>6</v>
      </c>
      <c r="F8" s="119" t="s">
        <v>990</v>
      </c>
      <c r="G8" s="103"/>
      <c r="H8" s="120">
        <v>0</v>
      </c>
      <c r="I8" s="120"/>
      <c r="J8" s="120">
        <v>16000</v>
      </c>
      <c r="K8" s="120"/>
      <c r="L8" s="120"/>
      <c r="M8" s="120"/>
      <c r="N8" s="120">
        <f>H8+I8+J8+K8+L8+M8</f>
        <v>16000</v>
      </c>
      <c r="O8" s="120"/>
      <c r="P8" s="120">
        <v>16000</v>
      </c>
      <c r="Q8" s="120">
        <v>15308</v>
      </c>
      <c r="R8" s="120">
        <f t="shared" si="0"/>
        <v>95.675</v>
      </c>
      <c r="S8" s="105" t="s">
        <v>135</v>
      </c>
      <c r="U8" s="93"/>
      <c r="V8" s="93"/>
      <c r="W8" s="93"/>
      <c r="X8" s="93"/>
      <c r="Y8" s="93"/>
      <c r="Z8" s="93"/>
    </row>
    <row r="9" spans="1:26" ht="15" customHeight="1">
      <c r="A9" s="99"/>
      <c r="B9" s="118">
        <v>25087</v>
      </c>
      <c r="C9" s="99">
        <v>2219</v>
      </c>
      <c r="D9" s="99">
        <v>6121</v>
      </c>
      <c r="E9" s="99">
        <v>7</v>
      </c>
      <c r="F9" s="119" t="s">
        <v>991</v>
      </c>
      <c r="G9" s="103"/>
      <c r="H9" s="120">
        <v>0</v>
      </c>
      <c r="I9" s="120">
        <v>550000</v>
      </c>
      <c r="J9" s="120"/>
      <c r="K9" s="120"/>
      <c r="L9" s="120"/>
      <c r="M9" s="120"/>
      <c r="N9" s="120">
        <f>H9+I9+J9+K9+L9+M9</f>
        <v>550000</v>
      </c>
      <c r="O9" s="120"/>
      <c r="P9" s="120">
        <v>31500</v>
      </c>
      <c r="Q9" s="120">
        <v>31396</v>
      </c>
      <c r="R9" s="120">
        <f t="shared" si="0"/>
        <v>99.66984126984127</v>
      </c>
      <c r="S9" s="105" t="s">
        <v>135</v>
      </c>
      <c r="U9" s="93"/>
      <c r="V9" s="93"/>
      <c r="W9" s="93"/>
      <c r="X9" s="93"/>
      <c r="Y9" s="93"/>
      <c r="Z9" s="93"/>
    </row>
    <row r="10" spans="1:26" ht="15" customHeight="1">
      <c r="A10" s="99">
        <v>4190</v>
      </c>
      <c r="B10" s="118">
        <f>A10+20000</f>
        <v>24190</v>
      </c>
      <c r="C10" s="99">
        <v>2321</v>
      </c>
      <c r="D10" s="99">
        <v>6121</v>
      </c>
      <c r="E10" s="99">
        <v>8</v>
      </c>
      <c r="F10" s="119" t="s">
        <v>992</v>
      </c>
      <c r="G10" s="103">
        <v>2.5</v>
      </c>
      <c r="H10" s="120">
        <f>G10*1000000</f>
        <v>2500000</v>
      </c>
      <c r="I10" s="120"/>
      <c r="J10" s="120">
        <v>-1418000</v>
      </c>
      <c r="K10" s="120">
        <v>-20000</v>
      </c>
      <c r="L10" s="120"/>
      <c r="M10" s="120"/>
      <c r="N10" s="120">
        <v>992000</v>
      </c>
      <c r="O10" s="120">
        <v>-35000</v>
      </c>
      <c r="P10" s="120">
        <v>920000</v>
      </c>
      <c r="Q10" s="120">
        <v>919800</v>
      </c>
      <c r="R10" s="120">
        <f t="shared" si="0"/>
        <v>99.97826086956522</v>
      </c>
      <c r="S10" s="105" t="s">
        <v>135</v>
      </c>
      <c r="U10" s="93"/>
      <c r="V10" s="93"/>
      <c r="W10" s="93"/>
      <c r="X10" s="93"/>
      <c r="Y10" s="93"/>
      <c r="Z10" s="93"/>
    </row>
    <row r="11" spans="1:26" ht="15" customHeight="1">
      <c r="A11" s="99"/>
      <c r="B11" s="118">
        <v>24957</v>
      </c>
      <c r="C11" s="99">
        <v>3421</v>
      </c>
      <c r="D11" s="99">
        <v>6121</v>
      </c>
      <c r="E11" s="99">
        <v>9</v>
      </c>
      <c r="F11" s="119" t="s">
        <v>958</v>
      </c>
      <c r="G11" s="103"/>
      <c r="H11" s="120">
        <v>0</v>
      </c>
      <c r="I11" s="120"/>
      <c r="J11" s="120"/>
      <c r="K11" s="120"/>
      <c r="L11" s="120"/>
      <c r="M11" s="120">
        <v>200000</v>
      </c>
      <c r="N11" s="120">
        <v>0</v>
      </c>
      <c r="O11" s="120"/>
      <c r="P11" s="120">
        <v>0</v>
      </c>
      <c r="Q11" s="120">
        <v>0</v>
      </c>
      <c r="R11" s="120">
        <v>0</v>
      </c>
      <c r="S11" s="105" t="s">
        <v>135</v>
      </c>
      <c r="U11" s="93"/>
      <c r="V11" s="93"/>
      <c r="W11" s="93"/>
      <c r="X11" s="93"/>
      <c r="Y11" s="93"/>
      <c r="Z11" s="93"/>
    </row>
    <row r="12" spans="1:26" ht="15" customHeight="1">
      <c r="A12" s="99">
        <v>4517</v>
      </c>
      <c r="B12" s="118">
        <f>A12+20000</f>
        <v>24517</v>
      </c>
      <c r="C12" s="99">
        <v>3635</v>
      </c>
      <c r="D12" s="99">
        <v>6121</v>
      </c>
      <c r="E12" s="99">
        <v>10</v>
      </c>
      <c r="F12" s="119" t="s">
        <v>993</v>
      </c>
      <c r="G12" s="103">
        <v>0.8</v>
      </c>
      <c r="H12" s="120">
        <f>G12*1000000</f>
        <v>800000</v>
      </c>
      <c r="I12" s="120"/>
      <c r="J12" s="120"/>
      <c r="K12" s="120"/>
      <c r="L12" s="120"/>
      <c r="M12" s="120"/>
      <c r="N12" s="120">
        <f aca="true" t="shared" si="1" ref="N12:N17">H12+I12+J12+K12+L12+M12</f>
        <v>800000</v>
      </c>
      <c r="O12" s="120"/>
      <c r="P12" s="120">
        <v>777500</v>
      </c>
      <c r="Q12" s="120">
        <v>777120</v>
      </c>
      <c r="R12" s="120">
        <f aca="true" t="shared" si="2" ref="R12:R28">Q12/P12*100</f>
        <v>99.95112540192926</v>
      </c>
      <c r="S12" s="105" t="s">
        <v>135</v>
      </c>
      <c r="U12" s="93"/>
      <c r="V12" s="93"/>
      <c r="W12" s="93"/>
      <c r="X12" s="93"/>
      <c r="Y12" s="93"/>
      <c r="Z12" s="93"/>
    </row>
    <row r="13" spans="1:26" ht="15" customHeight="1">
      <c r="A13" s="99">
        <v>4786</v>
      </c>
      <c r="B13" s="118">
        <f>A13+20000</f>
        <v>24786</v>
      </c>
      <c r="C13" s="99">
        <v>4351</v>
      </c>
      <c r="D13" s="99">
        <v>6121</v>
      </c>
      <c r="E13" s="99">
        <v>11</v>
      </c>
      <c r="F13" s="119" t="s">
        <v>994</v>
      </c>
      <c r="G13" s="103">
        <v>0.3</v>
      </c>
      <c r="H13" s="120">
        <f>G13*1000000</f>
        <v>300000</v>
      </c>
      <c r="I13" s="120"/>
      <c r="J13" s="120"/>
      <c r="K13" s="120"/>
      <c r="L13" s="120"/>
      <c r="M13" s="120"/>
      <c r="N13" s="120">
        <f t="shared" si="1"/>
        <v>300000</v>
      </c>
      <c r="O13" s="120"/>
      <c r="P13" s="120">
        <v>237500</v>
      </c>
      <c r="Q13" s="120">
        <v>236880</v>
      </c>
      <c r="R13" s="120">
        <f t="shared" si="2"/>
        <v>99.73894736842105</v>
      </c>
      <c r="S13" s="105" t="s">
        <v>135</v>
      </c>
      <c r="U13" s="93"/>
      <c r="V13" s="93"/>
      <c r="W13" s="93"/>
      <c r="X13" s="93"/>
      <c r="Y13" s="93"/>
      <c r="Z13" s="93"/>
    </row>
    <row r="14" spans="1:26" ht="15" customHeight="1">
      <c r="A14" s="99"/>
      <c r="B14" s="118">
        <v>24934</v>
      </c>
      <c r="C14" s="99">
        <v>2212</v>
      </c>
      <c r="D14" s="99">
        <v>6121</v>
      </c>
      <c r="E14" s="99">
        <v>12</v>
      </c>
      <c r="F14" s="119" t="s">
        <v>995</v>
      </c>
      <c r="G14" s="103"/>
      <c r="H14" s="120">
        <v>0</v>
      </c>
      <c r="I14" s="120"/>
      <c r="J14" s="120">
        <v>144000</v>
      </c>
      <c r="K14" s="120"/>
      <c r="L14" s="120"/>
      <c r="M14" s="120"/>
      <c r="N14" s="120">
        <f t="shared" si="1"/>
        <v>144000</v>
      </c>
      <c r="O14" s="120"/>
      <c r="P14" s="120">
        <v>144000</v>
      </c>
      <c r="Q14" s="120">
        <v>144000</v>
      </c>
      <c r="R14" s="120">
        <f t="shared" si="2"/>
        <v>100</v>
      </c>
      <c r="S14" s="105" t="s">
        <v>135</v>
      </c>
      <c r="U14" s="93"/>
      <c r="V14" s="93"/>
      <c r="W14" s="93"/>
      <c r="X14" s="93"/>
      <c r="Y14" s="93"/>
      <c r="Z14" s="93"/>
    </row>
    <row r="15" spans="1:26" ht="15" customHeight="1">
      <c r="A15" s="99">
        <v>5039</v>
      </c>
      <c r="B15" s="118">
        <f>A15+20000</f>
        <v>25039</v>
      </c>
      <c r="C15" s="99">
        <v>2321</v>
      </c>
      <c r="D15" s="99">
        <v>6121</v>
      </c>
      <c r="E15" s="99">
        <v>13</v>
      </c>
      <c r="F15" s="119" t="s">
        <v>996</v>
      </c>
      <c r="G15" s="103">
        <v>0.3</v>
      </c>
      <c r="H15" s="120">
        <f>G15*1000000</f>
        <v>300000</v>
      </c>
      <c r="I15" s="120"/>
      <c r="J15" s="120"/>
      <c r="K15" s="120"/>
      <c r="L15" s="120"/>
      <c r="M15" s="120"/>
      <c r="N15" s="120">
        <f t="shared" si="1"/>
        <v>300000</v>
      </c>
      <c r="O15" s="120"/>
      <c r="P15" s="120">
        <v>204000</v>
      </c>
      <c r="Q15" s="120">
        <v>204000</v>
      </c>
      <c r="R15" s="120">
        <f t="shared" si="2"/>
        <v>100</v>
      </c>
      <c r="S15" s="105" t="s">
        <v>135</v>
      </c>
      <c r="U15" s="93"/>
      <c r="V15" s="93"/>
      <c r="W15" s="93"/>
      <c r="X15" s="93"/>
      <c r="Y15" s="93"/>
      <c r="Z15" s="93"/>
    </row>
    <row r="16" spans="1:26" ht="15" customHeight="1">
      <c r="A16" s="99"/>
      <c r="B16" s="118">
        <v>24995</v>
      </c>
      <c r="C16" s="99">
        <v>3113</v>
      </c>
      <c r="D16" s="99">
        <v>6121</v>
      </c>
      <c r="E16" s="99">
        <v>14</v>
      </c>
      <c r="F16" s="119" t="s">
        <v>997</v>
      </c>
      <c r="G16" s="103"/>
      <c r="H16" s="120">
        <v>0</v>
      </c>
      <c r="I16" s="120"/>
      <c r="J16" s="120">
        <v>16000</v>
      </c>
      <c r="K16" s="120"/>
      <c r="L16" s="120"/>
      <c r="M16" s="120"/>
      <c r="N16" s="120">
        <f t="shared" si="1"/>
        <v>16000</v>
      </c>
      <c r="O16" s="120"/>
      <c r="P16" s="120">
        <f>16000</f>
        <v>16000</v>
      </c>
      <c r="Q16" s="120">
        <v>15308</v>
      </c>
      <c r="R16" s="120">
        <f t="shared" si="2"/>
        <v>95.675</v>
      </c>
      <c r="S16" s="105" t="s">
        <v>135</v>
      </c>
      <c r="U16" s="93"/>
      <c r="V16" s="93"/>
      <c r="W16" s="93"/>
      <c r="X16" s="93"/>
      <c r="Y16" s="93"/>
      <c r="Z16" s="93"/>
    </row>
    <row r="17" spans="1:26" ht="15" customHeight="1">
      <c r="A17" s="99">
        <v>5006</v>
      </c>
      <c r="B17" s="118">
        <f>A17+20000</f>
        <v>25006</v>
      </c>
      <c r="C17" s="99">
        <v>2212</v>
      </c>
      <c r="D17" s="99">
        <v>6121</v>
      </c>
      <c r="E17" s="99">
        <v>15</v>
      </c>
      <c r="F17" s="119" t="s">
        <v>960</v>
      </c>
      <c r="G17" s="103">
        <v>0.1</v>
      </c>
      <c r="H17" s="120">
        <f>G17*1000000</f>
        <v>100000</v>
      </c>
      <c r="I17" s="120"/>
      <c r="J17" s="120"/>
      <c r="K17" s="120"/>
      <c r="L17" s="120"/>
      <c r="M17" s="120"/>
      <c r="N17" s="120">
        <f t="shared" si="1"/>
        <v>100000</v>
      </c>
      <c r="O17" s="120"/>
      <c r="P17" s="120">
        <v>70000</v>
      </c>
      <c r="Q17" s="120">
        <v>68880</v>
      </c>
      <c r="R17" s="120">
        <f t="shared" si="2"/>
        <v>98.4</v>
      </c>
      <c r="S17" s="105" t="s">
        <v>135</v>
      </c>
      <c r="U17" s="93"/>
      <c r="V17" s="93"/>
      <c r="W17" s="93"/>
      <c r="X17" s="93"/>
      <c r="Y17" s="93"/>
      <c r="Z17" s="93"/>
    </row>
    <row r="18" spans="1:26" ht="15" customHeight="1">
      <c r="A18" s="99"/>
      <c r="B18" s="118">
        <v>25091</v>
      </c>
      <c r="C18" s="99">
        <v>2219</v>
      </c>
      <c r="D18" s="99">
        <v>6121</v>
      </c>
      <c r="E18" s="99">
        <v>16</v>
      </c>
      <c r="F18" s="119" t="s">
        <v>998</v>
      </c>
      <c r="G18" s="103"/>
      <c r="H18" s="120">
        <v>0</v>
      </c>
      <c r="I18" s="120"/>
      <c r="J18" s="120"/>
      <c r="K18" s="120"/>
      <c r="L18" s="120"/>
      <c r="M18" s="120"/>
      <c r="N18" s="120">
        <v>114000</v>
      </c>
      <c r="O18" s="120"/>
      <c r="P18" s="120">
        <v>114000</v>
      </c>
      <c r="Q18" s="120">
        <v>114000</v>
      </c>
      <c r="R18" s="120">
        <f t="shared" si="2"/>
        <v>100</v>
      </c>
      <c r="S18" s="105" t="s">
        <v>135</v>
      </c>
      <c r="U18" s="93"/>
      <c r="V18" s="93"/>
      <c r="W18" s="93"/>
      <c r="X18" s="93"/>
      <c r="Y18" s="93"/>
      <c r="Z18" s="93"/>
    </row>
    <row r="19" spans="1:26" ht="15" customHeight="1">
      <c r="A19" s="99">
        <v>4853</v>
      </c>
      <c r="B19" s="118">
        <f>A19+20000</f>
        <v>24853</v>
      </c>
      <c r="C19" s="99">
        <v>2212</v>
      </c>
      <c r="D19" s="99">
        <v>6121</v>
      </c>
      <c r="E19" s="99">
        <v>17</v>
      </c>
      <c r="F19" s="119" t="s">
        <v>999</v>
      </c>
      <c r="G19" s="103">
        <v>0.04</v>
      </c>
      <c r="H19" s="120">
        <f>G19*1000000</f>
        <v>40000</v>
      </c>
      <c r="I19" s="120"/>
      <c r="J19" s="120"/>
      <c r="K19" s="120"/>
      <c r="L19" s="120"/>
      <c r="M19" s="120"/>
      <c r="N19" s="120">
        <f>H19+I19+J19+K19+L19+M19</f>
        <v>40000</v>
      </c>
      <c r="O19" s="120"/>
      <c r="P19" s="120">
        <v>0</v>
      </c>
      <c r="Q19" s="120">
        <v>0</v>
      </c>
      <c r="R19" s="120">
        <v>0</v>
      </c>
      <c r="S19" s="105" t="s">
        <v>135</v>
      </c>
      <c r="U19" s="93"/>
      <c r="V19" s="93"/>
      <c r="W19" s="93"/>
      <c r="X19" s="93"/>
      <c r="Y19" s="93"/>
      <c r="Z19" s="93"/>
    </row>
    <row r="20" spans="1:26" ht="15" customHeight="1">
      <c r="A20" s="99">
        <v>4910</v>
      </c>
      <c r="B20" s="118">
        <f>A20+20000</f>
        <v>24910</v>
      </c>
      <c r="C20" s="99">
        <v>2219</v>
      </c>
      <c r="D20" s="99">
        <v>6121</v>
      </c>
      <c r="E20" s="99">
        <v>18</v>
      </c>
      <c r="F20" s="119" t="s">
        <v>1000</v>
      </c>
      <c r="G20" s="103">
        <v>0.05</v>
      </c>
      <c r="H20" s="120">
        <f>G20*1000000</f>
        <v>50000</v>
      </c>
      <c r="I20" s="120"/>
      <c r="J20" s="120"/>
      <c r="K20" s="120"/>
      <c r="L20" s="120"/>
      <c r="M20" s="120"/>
      <c r="N20" s="120">
        <f>H20+I20+J20+K20+L20+M20</f>
        <v>50000</v>
      </c>
      <c r="O20" s="120"/>
      <c r="P20" s="120">
        <v>42500</v>
      </c>
      <c r="Q20" s="120">
        <v>42337</v>
      </c>
      <c r="R20" s="120">
        <f t="shared" si="2"/>
        <v>99.6164705882353</v>
      </c>
      <c r="S20" s="105" t="s">
        <v>135</v>
      </c>
      <c r="U20" s="93"/>
      <c r="V20" s="93"/>
      <c r="W20" s="93"/>
      <c r="X20" s="93"/>
      <c r="Y20" s="93"/>
      <c r="Z20" s="93"/>
    </row>
    <row r="21" spans="1:26" ht="15" customHeight="1">
      <c r="A21" s="99">
        <v>5079</v>
      </c>
      <c r="B21" s="118">
        <f>A21+20000</f>
        <v>25079</v>
      </c>
      <c r="C21" s="99">
        <v>3632</v>
      </c>
      <c r="D21" s="99">
        <v>6121</v>
      </c>
      <c r="E21" s="99">
        <v>19</v>
      </c>
      <c r="F21" s="119" t="s">
        <v>1001</v>
      </c>
      <c r="G21" s="103">
        <v>0.15</v>
      </c>
      <c r="H21" s="120">
        <f>G21*1000000</f>
        <v>150000</v>
      </c>
      <c r="I21" s="120"/>
      <c r="J21" s="120"/>
      <c r="K21" s="120"/>
      <c r="L21" s="120"/>
      <c r="M21" s="120"/>
      <c r="N21" s="120">
        <v>85000</v>
      </c>
      <c r="O21" s="120"/>
      <c r="P21" s="120">
        <v>85000</v>
      </c>
      <c r="Q21" s="120">
        <v>84452</v>
      </c>
      <c r="R21" s="120">
        <f t="shared" si="2"/>
        <v>99.35529411764706</v>
      </c>
      <c r="S21" s="105" t="s">
        <v>135</v>
      </c>
      <c r="U21" s="93"/>
      <c r="V21" s="93"/>
      <c r="W21" s="93"/>
      <c r="X21" s="93"/>
      <c r="Y21" s="93"/>
      <c r="Z21" s="93"/>
    </row>
    <row r="22" spans="1:26" ht="15" customHeight="1">
      <c r="A22" s="99"/>
      <c r="B22" s="118">
        <v>25142</v>
      </c>
      <c r="C22" s="99">
        <v>2219</v>
      </c>
      <c r="D22" s="99">
        <v>6121</v>
      </c>
      <c r="E22" s="99">
        <v>20</v>
      </c>
      <c r="F22" s="119" t="s">
        <v>266</v>
      </c>
      <c r="G22" s="103"/>
      <c r="H22" s="120">
        <v>0</v>
      </c>
      <c r="I22" s="120"/>
      <c r="J22" s="120"/>
      <c r="K22" s="120"/>
      <c r="L22" s="120"/>
      <c r="M22" s="120"/>
      <c r="N22" s="120"/>
      <c r="O22" s="120"/>
      <c r="P22" s="120">
        <v>211200</v>
      </c>
      <c r="Q22" s="120">
        <v>211200</v>
      </c>
      <c r="R22" s="120">
        <f t="shared" si="2"/>
        <v>100</v>
      </c>
      <c r="S22" s="105" t="s">
        <v>269</v>
      </c>
      <c r="U22" s="93"/>
      <c r="V22" s="93"/>
      <c r="W22" s="93"/>
      <c r="X22" s="93"/>
      <c r="Y22" s="93"/>
      <c r="Z22" s="93"/>
    </row>
    <row r="23" spans="1:26" ht="15" customHeight="1">
      <c r="A23" s="99"/>
      <c r="B23" s="118">
        <v>24936</v>
      </c>
      <c r="C23" s="99">
        <v>3632</v>
      </c>
      <c r="D23" s="99">
        <v>6121</v>
      </c>
      <c r="E23" s="99">
        <v>21</v>
      </c>
      <c r="F23" s="119" t="s">
        <v>871</v>
      </c>
      <c r="G23" s="103"/>
      <c r="H23" s="120">
        <v>0</v>
      </c>
      <c r="I23" s="120"/>
      <c r="J23" s="120"/>
      <c r="K23" s="120"/>
      <c r="L23" s="120"/>
      <c r="M23" s="120"/>
      <c r="N23" s="120">
        <v>65000</v>
      </c>
      <c r="O23" s="120"/>
      <c r="P23" s="120">
        <v>65000</v>
      </c>
      <c r="Q23" s="120">
        <v>64972</v>
      </c>
      <c r="R23" s="120">
        <f t="shared" si="2"/>
        <v>99.95692307692308</v>
      </c>
      <c r="S23" s="105" t="s">
        <v>135</v>
      </c>
      <c r="U23" s="93"/>
      <c r="V23" s="93"/>
      <c r="W23" s="93"/>
      <c r="X23" s="93"/>
      <c r="Y23" s="93"/>
      <c r="Z23" s="93"/>
    </row>
    <row r="24" spans="1:26" ht="15" customHeight="1">
      <c r="A24" s="99">
        <v>4866</v>
      </c>
      <c r="B24" s="118">
        <f>A24+20000</f>
        <v>24866</v>
      </c>
      <c r="C24" s="99">
        <v>2219</v>
      </c>
      <c r="D24" s="99">
        <v>6121</v>
      </c>
      <c r="E24" s="99">
        <v>22</v>
      </c>
      <c r="F24" s="119" t="s">
        <v>1002</v>
      </c>
      <c r="G24" s="103">
        <v>0.3</v>
      </c>
      <c r="H24" s="120">
        <f>G24*1000000</f>
        <v>300000</v>
      </c>
      <c r="I24" s="120"/>
      <c r="J24" s="120"/>
      <c r="K24" s="120"/>
      <c r="L24" s="120"/>
      <c r="M24" s="120"/>
      <c r="N24" s="120">
        <f>H24+I24+J24+K24+L24+M24</f>
        <v>300000</v>
      </c>
      <c r="O24" s="120"/>
      <c r="P24" s="120">
        <v>16000</v>
      </c>
      <c r="Q24" s="120">
        <v>15624</v>
      </c>
      <c r="R24" s="120">
        <f t="shared" si="2"/>
        <v>97.65</v>
      </c>
      <c r="S24" s="105" t="s">
        <v>135</v>
      </c>
      <c r="U24" s="93"/>
      <c r="V24" s="93"/>
      <c r="W24" s="93"/>
      <c r="X24" s="93"/>
      <c r="Y24" s="93"/>
      <c r="Z24" s="93"/>
    </row>
    <row r="25" spans="1:26" ht="15" customHeight="1">
      <c r="A25" s="166" t="s">
        <v>1003</v>
      </c>
      <c r="B25" s="118">
        <f>A25+20000</f>
        <v>20723</v>
      </c>
      <c r="C25" s="171">
        <v>2212</v>
      </c>
      <c r="D25" s="171">
        <v>6121</v>
      </c>
      <c r="E25" s="99">
        <v>23</v>
      </c>
      <c r="F25" s="172" t="s">
        <v>1004</v>
      </c>
      <c r="G25" s="112">
        <v>0.8</v>
      </c>
      <c r="H25" s="120">
        <f>G25*1000000</f>
        <v>800000</v>
      </c>
      <c r="I25" s="120"/>
      <c r="J25" s="120"/>
      <c r="K25" s="120"/>
      <c r="L25" s="120"/>
      <c r="M25" s="120"/>
      <c r="N25" s="120">
        <f>H25+I25+J25+K25+L25+M25</f>
        <v>800000</v>
      </c>
      <c r="O25" s="120"/>
      <c r="P25" s="120">
        <v>545000</v>
      </c>
      <c r="Q25" s="120">
        <v>544452</v>
      </c>
      <c r="R25" s="120">
        <f t="shared" si="2"/>
        <v>99.8994495412844</v>
      </c>
      <c r="S25" s="105" t="s">
        <v>135</v>
      </c>
      <c r="U25" s="93"/>
      <c r="V25" s="93"/>
      <c r="W25" s="93"/>
      <c r="X25" s="93"/>
      <c r="Y25" s="93"/>
      <c r="Z25" s="93"/>
    </row>
    <row r="26" spans="1:26" ht="15" customHeight="1">
      <c r="A26" s="106">
        <v>4194</v>
      </c>
      <c r="B26" s="118">
        <f>A26+20000</f>
        <v>24194</v>
      </c>
      <c r="C26" s="99">
        <v>2219</v>
      </c>
      <c r="D26" s="99">
        <v>6121</v>
      </c>
      <c r="E26" s="99">
        <v>24</v>
      </c>
      <c r="F26" s="105" t="s">
        <v>962</v>
      </c>
      <c r="G26" s="103">
        <v>0.15</v>
      </c>
      <c r="H26" s="120">
        <f>G26*1000000</f>
        <v>150000</v>
      </c>
      <c r="I26" s="120"/>
      <c r="J26" s="120">
        <v>140000</v>
      </c>
      <c r="K26" s="120"/>
      <c r="L26" s="120"/>
      <c r="M26" s="120"/>
      <c r="N26" s="120">
        <f>H26+I26+J26+K26+L26+M26</f>
        <v>290000</v>
      </c>
      <c r="O26" s="120"/>
      <c r="P26" s="120">
        <v>290000</v>
      </c>
      <c r="Q26" s="120">
        <v>289584</v>
      </c>
      <c r="R26" s="120">
        <f t="shared" si="2"/>
        <v>99.85655172413793</v>
      </c>
      <c r="S26" s="105" t="s">
        <v>135</v>
      </c>
      <c r="U26" s="93"/>
      <c r="V26" s="93"/>
      <c r="W26" s="93"/>
      <c r="X26" s="93"/>
      <c r="Y26" s="93"/>
      <c r="Z26" s="93"/>
    </row>
    <row r="27" spans="1:26" ht="15" customHeight="1">
      <c r="A27" s="106"/>
      <c r="B27" s="118">
        <v>24389</v>
      </c>
      <c r="C27" s="99">
        <v>2321</v>
      </c>
      <c r="D27" s="99">
        <v>6121</v>
      </c>
      <c r="E27" s="99">
        <v>25</v>
      </c>
      <c r="F27" s="105" t="s">
        <v>1005</v>
      </c>
      <c r="G27" s="103"/>
      <c r="H27" s="120">
        <v>0</v>
      </c>
      <c r="I27" s="120"/>
      <c r="J27" s="120"/>
      <c r="K27" s="120"/>
      <c r="L27" s="120"/>
      <c r="M27" s="120"/>
      <c r="N27" s="120">
        <v>0</v>
      </c>
      <c r="O27" s="120">
        <v>3000</v>
      </c>
      <c r="P27" s="120">
        <v>3000</v>
      </c>
      <c r="Q27" s="120">
        <v>3000</v>
      </c>
      <c r="R27" s="120">
        <f t="shared" si="2"/>
        <v>100</v>
      </c>
      <c r="S27" s="105" t="s">
        <v>135</v>
      </c>
      <c r="U27" s="93"/>
      <c r="V27" s="93"/>
      <c r="W27" s="93"/>
      <c r="X27" s="93"/>
      <c r="Y27" s="93"/>
      <c r="Z27" s="93"/>
    </row>
    <row r="28" spans="1:26" ht="15" customHeight="1">
      <c r="A28" s="106"/>
      <c r="B28" s="118">
        <v>24392</v>
      </c>
      <c r="C28" s="99">
        <v>2321</v>
      </c>
      <c r="D28" s="99">
        <v>6121</v>
      </c>
      <c r="E28" s="99">
        <v>26</v>
      </c>
      <c r="F28" s="105" t="s">
        <v>0</v>
      </c>
      <c r="G28" s="103"/>
      <c r="H28" s="120">
        <v>0</v>
      </c>
      <c r="I28" s="120"/>
      <c r="J28" s="120"/>
      <c r="K28" s="120"/>
      <c r="L28" s="120"/>
      <c r="M28" s="120"/>
      <c r="N28" s="120"/>
      <c r="O28" s="120"/>
      <c r="P28" s="120">
        <f>116000+60000</f>
        <v>176000</v>
      </c>
      <c r="Q28" s="120">
        <v>136968</v>
      </c>
      <c r="R28" s="120">
        <f t="shared" si="2"/>
        <v>77.82272727272728</v>
      </c>
      <c r="S28" s="105" t="s">
        <v>135</v>
      </c>
      <c r="U28" s="93"/>
      <c r="V28" s="93"/>
      <c r="W28" s="93"/>
      <c r="X28" s="93"/>
      <c r="Y28" s="93"/>
      <c r="Z28" s="93"/>
    </row>
    <row r="29" spans="1:26" ht="15" customHeight="1">
      <c r="A29" s="106"/>
      <c r="B29" s="118">
        <v>25089</v>
      </c>
      <c r="C29" s="99">
        <v>5311</v>
      </c>
      <c r="D29" s="99">
        <v>6121</v>
      </c>
      <c r="E29" s="99">
        <v>27</v>
      </c>
      <c r="F29" s="105" t="s">
        <v>35</v>
      </c>
      <c r="G29" s="103"/>
      <c r="H29" s="120">
        <v>0</v>
      </c>
      <c r="I29" s="120"/>
      <c r="J29" s="120">
        <v>60000</v>
      </c>
      <c r="K29" s="120"/>
      <c r="L29" s="120"/>
      <c r="M29" s="120"/>
      <c r="N29" s="120">
        <f>H29+I29+J29+K29+L29+M29</f>
        <v>60000</v>
      </c>
      <c r="O29" s="120"/>
      <c r="P29" s="120">
        <v>61800</v>
      </c>
      <c r="Q29" s="120">
        <v>61800</v>
      </c>
      <c r="R29" s="120">
        <f aca="true" t="shared" si="3" ref="R29:R39">Q29/P29*100</f>
        <v>100</v>
      </c>
      <c r="S29" s="105" t="s">
        <v>36</v>
      </c>
      <c r="U29" s="93"/>
      <c r="V29" s="93"/>
      <c r="W29" s="93"/>
      <c r="X29" s="93"/>
      <c r="Y29" s="93"/>
      <c r="Z29" s="93"/>
    </row>
    <row r="30" spans="1:26" ht="15" customHeight="1">
      <c r="A30" s="106"/>
      <c r="B30" s="118">
        <v>25098</v>
      </c>
      <c r="C30" s="99">
        <v>2212</v>
      </c>
      <c r="D30" s="99">
        <v>6121</v>
      </c>
      <c r="E30" s="99">
        <v>28</v>
      </c>
      <c r="F30" s="105" t="s">
        <v>40</v>
      </c>
      <c r="G30" s="103"/>
      <c r="H30" s="120">
        <v>0</v>
      </c>
      <c r="I30" s="120"/>
      <c r="J30" s="120"/>
      <c r="K30" s="120"/>
      <c r="L30" s="120"/>
      <c r="M30" s="120"/>
      <c r="N30" s="120">
        <v>1000</v>
      </c>
      <c r="O30" s="120"/>
      <c r="P30" s="120">
        <v>1000</v>
      </c>
      <c r="Q30" s="120">
        <v>0</v>
      </c>
      <c r="R30" s="120">
        <f t="shared" si="3"/>
        <v>0</v>
      </c>
      <c r="S30" s="105" t="s">
        <v>135</v>
      </c>
      <c r="U30" s="93"/>
      <c r="V30" s="93"/>
      <c r="W30" s="93"/>
      <c r="X30" s="93"/>
      <c r="Y30" s="93"/>
      <c r="Z30" s="93"/>
    </row>
    <row r="31" spans="1:26" ht="15" customHeight="1">
      <c r="A31" s="106"/>
      <c r="B31" s="118">
        <v>24978</v>
      </c>
      <c r="C31" s="99">
        <v>2219</v>
      </c>
      <c r="D31" s="99">
        <v>6121</v>
      </c>
      <c r="E31" s="99">
        <v>29</v>
      </c>
      <c r="F31" s="105" t="s">
        <v>1</v>
      </c>
      <c r="G31" s="103"/>
      <c r="H31" s="120">
        <v>0</v>
      </c>
      <c r="I31" s="120"/>
      <c r="J31" s="120">
        <v>59000</v>
      </c>
      <c r="K31" s="120"/>
      <c r="L31" s="120"/>
      <c r="M31" s="120"/>
      <c r="N31" s="120">
        <v>29000</v>
      </c>
      <c r="O31" s="120"/>
      <c r="P31" s="120">
        <v>17500</v>
      </c>
      <c r="Q31" s="120">
        <v>17260</v>
      </c>
      <c r="R31" s="120">
        <f t="shared" si="3"/>
        <v>98.62857142857143</v>
      </c>
      <c r="S31" s="105" t="s">
        <v>135</v>
      </c>
      <c r="U31" s="93"/>
      <c r="V31" s="93"/>
      <c r="W31" s="93"/>
      <c r="X31" s="93"/>
      <c r="Y31" s="93"/>
      <c r="Z31" s="93"/>
    </row>
    <row r="32" spans="1:26" ht="15" customHeight="1">
      <c r="A32" s="99">
        <v>4865</v>
      </c>
      <c r="B32" s="118">
        <f>A32+20000</f>
        <v>24865</v>
      </c>
      <c r="C32" s="99">
        <v>2219</v>
      </c>
      <c r="D32" s="99">
        <v>6121</v>
      </c>
      <c r="E32" s="99">
        <v>30</v>
      </c>
      <c r="F32" s="119" t="s">
        <v>2</v>
      </c>
      <c r="G32" s="103">
        <v>0.8</v>
      </c>
      <c r="H32" s="120">
        <f>G32*1000000</f>
        <v>800000</v>
      </c>
      <c r="I32" s="120"/>
      <c r="J32" s="120">
        <v>-160000</v>
      </c>
      <c r="K32" s="120"/>
      <c r="L32" s="120">
        <v>-315000</v>
      </c>
      <c r="M32" s="120"/>
      <c r="N32" s="120">
        <f>H32+I32+J32+K32+L32+M32</f>
        <v>325000</v>
      </c>
      <c r="O32" s="120"/>
      <c r="P32" s="120">
        <v>179500</v>
      </c>
      <c r="Q32" s="120">
        <v>169414</v>
      </c>
      <c r="R32" s="120">
        <f t="shared" si="3"/>
        <v>94.38105849582172</v>
      </c>
      <c r="S32" s="105" t="s">
        <v>135</v>
      </c>
      <c r="U32" s="93"/>
      <c r="V32" s="93"/>
      <c r="W32" s="93"/>
      <c r="X32" s="93"/>
      <c r="Y32" s="93"/>
      <c r="Z32" s="93"/>
    </row>
    <row r="33" spans="1:26" ht="15" customHeight="1">
      <c r="A33" s="99">
        <v>5021</v>
      </c>
      <c r="B33" s="118">
        <f>A33+20000</f>
        <v>25021</v>
      </c>
      <c r="C33" s="99">
        <v>2212</v>
      </c>
      <c r="D33" s="99">
        <v>6121</v>
      </c>
      <c r="E33" s="99">
        <v>31</v>
      </c>
      <c r="F33" s="119" t="s">
        <v>3</v>
      </c>
      <c r="G33" s="103">
        <v>0.1</v>
      </c>
      <c r="H33" s="120">
        <f>G33*1000000</f>
        <v>100000</v>
      </c>
      <c r="I33" s="120"/>
      <c r="J33" s="120"/>
      <c r="K33" s="120"/>
      <c r="L33" s="120"/>
      <c r="M33" s="120"/>
      <c r="N33" s="120">
        <f>H33+I33+J33+K33+L33+M33</f>
        <v>100000</v>
      </c>
      <c r="O33" s="120"/>
      <c r="P33" s="120">
        <v>19000</v>
      </c>
      <c r="Q33" s="120">
        <v>18420</v>
      </c>
      <c r="R33" s="120">
        <f t="shared" si="3"/>
        <v>96.94736842105263</v>
      </c>
      <c r="S33" s="105" t="s">
        <v>135</v>
      </c>
      <c r="U33" s="93"/>
      <c r="V33" s="93"/>
      <c r="W33" s="93"/>
      <c r="X33" s="93"/>
      <c r="Y33" s="93"/>
      <c r="Z33" s="93"/>
    </row>
    <row r="34" spans="1:26" ht="15" customHeight="1">
      <c r="A34" s="182"/>
      <c r="B34" s="118">
        <v>24985</v>
      </c>
      <c r="C34" s="182">
        <v>3111</v>
      </c>
      <c r="D34" s="182">
        <v>6121</v>
      </c>
      <c r="E34" s="99">
        <v>32</v>
      </c>
      <c r="F34" s="183" t="s">
        <v>4</v>
      </c>
      <c r="G34" s="180"/>
      <c r="H34" s="181">
        <v>0</v>
      </c>
      <c r="I34" s="181"/>
      <c r="J34" s="181"/>
      <c r="K34" s="181"/>
      <c r="L34" s="181"/>
      <c r="M34" s="181"/>
      <c r="N34" s="181">
        <v>52000</v>
      </c>
      <c r="O34" s="181"/>
      <c r="P34" s="181">
        <v>52000</v>
      </c>
      <c r="Q34" s="181">
        <v>51120</v>
      </c>
      <c r="R34" s="181">
        <f t="shared" si="3"/>
        <v>98.3076923076923</v>
      </c>
      <c r="S34" s="184" t="s">
        <v>135</v>
      </c>
      <c r="U34" s="93"/>
      <c r="V34" s="93"/>
      <c r="W34" s="93"/>
      <c r="X34" s="93"/>
      <c r="Y34" s="93"/>
      <c r="Z34" s="93"/>
    </row>
    <row r="35" spans="1:26" s="164" customFormat="1" ht="15" customHeight="1">
      <c r="A35" s="99"/>
      <c r="B35" s="166">
        <v>24984</v>
      </c>
      <c r="C35" s="99">
        <v>3111</v>
      </c>
      <c r="D35" s="99">
        <v>6121</v>
      </c>
      <c r="E35" s="99">
        <v>33</v>
      </c>
      <c r="F35" s="119" t="s">
        <v>5</v>
      </c>
      <c r="G35" s="103"/>
      <c r="H35" s="120">
        <v>0</v>
      </c>
      <c r="I35" s="120"/>
      <c r="J35" s="120">
        <v>16000</v>
      </c>
      <c r="K35" s="120"/>
      <c r="L35" s="120"/>
      <c r="M35" s="120"/>
      <c r="N35" s="120">
        <f>H35+I35+J35+K35+L35+M35</f>
        <v>16000</v>
      </c>
      <c r="O35" s="120"/>
      <c r="P35" s="120">
        <v>16000</v>
      </c>
      <c r="Q35" s="120">
        <v>15308</v>
      </c>
      <c r="R35" s="120">
        <f t="shared" si="3"/>
        <v>95.675</v>
      </c>
      <c r="S35" s="105" t="s">
        <v>135</v>
      </c>
      <c r="T35" s="163"/>
      <c r="U35" s="163"/>
      <c r="V35" s="163"/>
      <c r="W35" s="163"/>
      <c r="X35" s="163"/>
      <c r="Y35" s="163"/>
      <c r="Z35" s="163"/>
    </row>
    <row r="36" spans="1:26" s="164" customFormat="1" ht="15" customHeight="1">
      <c r="A36" s="99"/>
      <c r="B36" s="166">
        <v>24986</v>
      </c>
      <c r="C36" s="99">
        <v>3111</v>
      </c>
      <c r="D36" s="99">
        <v>6121</v>
      </c>
      <c r="E36" s="99">
        <v>34</v>
      </c>
      <c r="F36" s="119" t="s">
        <v>6</v>
      </c>
      <c r="G36" s="103"/>
      <c r="H36" s="120">
        <v>0</v>
      </c>
      <c r="I36" s="120"/>
      <c r="J36" s="120"/>
      <c r="K36" s="120"/>
      <c r="L36" s="120"/>
      <c r="M36" s="120"/>
      <c r="N36" s="120">
        <v>52000</v>
      </c>
      <c r="O36" s="120"/>
      <c r="P36" s="120">
        <v>52000</v>
      </c>
      <c r="Q36" s="120">
        <v>51120</v>
      </c>
      <c r="R36" s="120">
        <f t="shared" si="3"/>
        <v>98.3076923076923</v>
      </c>
      <c r="S36" s="105" t="s">
        <v>135</v>
      </c>
      <c r="T36" s="163"/>
      <c r="U36" s="163"/>
      <c r="V36" s="163"/>
      <c r="W36" s="163"/>
      <c r="X36" s="163"/>
      <c r="Y36" s="163"/>
      <c r="Z36" s="163"/>
    </row>
    <row r="37" spans="1:26" ht="15" customHeight="1">
      <c r="A37" s="167"/>
      <c r="B37" s="191">
        <v>24791</v>
      </c>
      <c r="C37" s="167">
        <v>3111</v>
      </c>
      <c r="D37" s="167">
        <v>6121</v>
      </c>
      <c r="E37" s="99">
        <v>35</v>
      </c>
      <c r="F37" s="168" t="s">
        <v>7</v>
      </c>
      <c r="G37" s="141"/>
      <c r="H37" s="169">
        <v>0</v>
      </c>
      <c r="I37" s="169">
        <v>80000</v>
      </c>
      <c r="J37" s="169"/>
      <c r="K37" s="169"/>
      <c r="L37" s="169"/>
      <c r="M37" s="169"/>
      <c r="N37" s="169">
        <f aca="true" t="shared" si="4" ref="N37:N44">H37+I37+J37+K37+L37+M37</f>
        <v>80000</v>
      </c>
      <c r="O37" s="169"/>
      <c r="P37" s="169">
        <v>40000</v>
      </c>
      <c r="Q37" s="169">
        <v>39600</v>
      </c>
      <c r="R37" s="169">
        <f t="shared" si="3"/>
        <v>99</v>
      </c>
      <c r="S37" s="170" t="s">
        <v>135</v>
      </c>
      <c r="U37" s="93"/>
      <c r="V37" s="93"/>
      <c r="W37" s="93"/>
      <c r="X37" s="93"/>
      <c r="Y37" s="93"/>
      <c r="Z37" s="93"/>
    </row>
    <row r="38" spans="1:26" ht="15" customHeight="1">
      <c r="A38" s="99"/>
      <c r="B38" s="166">
        <v>24988</v>
      </c>
      <c r="C38" s="99">
        <v>3111</v>
      </c>
      <c r="D38" s="99">
        <v>6121</v>
      </c>
      <c r="E38" s="99">
        <v>36</v>
      </c>
      <c r="F38" s="119" t="s">
        <v>8</v>
      </c>
      <c r="G38" s="103"/>
      <c r="H38" s="120">
        <v>0</v>
      </c>
      <c r="I38" s="120"/>
      <c r="J38" s="120">
        <v>16000</v>
      </c>
      <c r="K38" s="120"/>
      <c r="L38" s="120"/>
      <c r="M38" s="120"/>
      <c r="N38" s="120">
        <f t="shared" si="4"/>
        <v>16000</v>
      </c>
      <c r="O38" s="120"/>
      <c r="P38" s="120">
        <v>16000</v>
      </c>
      <c r="Q38" s="120">
        <v>15308</v>
      </c>
      <c r="R38" s="120">
        <f t="shared" si="3"/>
        <v>95.675</v>
      </c>
      <c r="S38" s="105" t="s">
        <v>135</v>
      </c>
      <c r="U38" s="93"/>
      <c r="V38" s="93"/>
      <c r="W38" s="93"/>
      <c r="X38" s="93"/>
      <c r="Y38" s="93"/>
      <c r="Z38" s="93"/>
    </row>
    <row r="39" spans="1:26" ht="15" customHeight="1">
      <c r="A39" s="99"/>
      <c r="B39" s="166">
        <v>24987</v>
      </c>
      <c r="C39" s="99">
        <v>3111</v>
      </c>
      <c r="D39" s="99">
        <v>6121</v>
      </c>
      <c r="E39" s="99">
        <v>37</v>
      </c>
      <c r="F39" s="119" t="s">
        <v>9</v>
      </c>
      <c r="G39" s="103"/>
      <c r="H39" s="120">
        <v>0</v>
      </c>
      <c r="I39" s="120">
        <v>120000</v>
      </c>
      <c r="J39" s="120"/>
      <c r="K39" s="120"/>
      <c r="L39" s="120"/>
      <c r="M39" s="120"/>
      <c r="N39" s="120">
        <f t="shared" si="4"/>
        <v>120000</v>
      </c>
      <c r="O39" s="120"/>
      <c r="P39" s="120">
        <v>120000</v>
      </c>
      <c r="Q39" s="120">
        <v>120000</v>
      </c>
      <c r="R39" s="120">
        <f t="shared" si="3"/>
        <v>100</v>
      </c>
      <c r="S39" s="105" t="s">
        <v>135</v>
      </c>
      <c r="U39" s="93"/>
      <c r="V39" s="93"/>
      <c r="W39" s="93"/>
      <c r="X39" s="93"/>
      <c r="Y39" s="93"/>
      <c r="Z39" s="93"/>
    </row>
    <row r="40" spans="1:26" ht="15" customHeight="1">
      <c r="A40" s="99">
        <v>4455</v>
      </c>
      <c r="B40" s="166">
        <f>A40+20000</f>
        <v>24455</v>
      </c>
      <c r="C40" s="99">
        <v>2212</v>
      </c>
      <c r="D40" s="99">
        <v>6121</v>
      </c>
      <c r="E40" s="99">
        <v>38</v>
      </c>
      <c r="F40" s="119" t="s">
        <v>51</v>
      </c>
      <c r="G40" s="103">
        <v>0.8</v>
      </c>
      <c r="H40" s="120">
        <f>G40*1000000</f>
        <v>800000</v>
      </c>
      <c r="I40" s="120"/>
      <c r="J40" s="120"/>
      <c r="K40" s="120"/>
      <c r="L40" s="120">
        <v>-800000</v>
      </c>
      <c r="M40" s="120"/>
      <c r="N40" s="120">
        <f t="shared" si="4"/>
        <v>0</v>
      </c>
      <c r="O40" s="120"/>
      <c r="P40" s="120">
        <v>0</v>
      </c>
      <c r="Q40" s="120">
        <v>0</v>
      </c>
      <c r="R40" s="120">
        <v>0</v>
      </c>
      <c r="S40" s="105" t="s">
        <v>135</v>
      </c>
      <c r="U40" s="93"/>
      <c r="V40" s="93"/>
      <c r="W40" s="93"/>
      <c r="X40" s="93"/>
      <c r="Y40" s="93"/>
      <c r="Z40" s="93"/>
    </row>
    <row r="41" spans="1:26" ht="15" customHeight="1">
      <c r="A41" s="99"/>
      <c r="B41" s="118">
        <v>25097</v>
      </c>
      <c r="C41" s="99">
        <v>2212</v>
      </c>
      <c r="D41" s="99">
        <v>6121</v>
      </c>
      <c r="E41" s="99">
        <v>39</v>
      </c>
      <c r="F41" s="119" t="s">
        <v>365</v>
      </c>
      <c r="G41" s="103"/>
      <c r="H41" s="120">
        <v>0</v>
      </c>
      <c r="I41" s="120"/>
      <c r="J41" s="120"/>
      <c r="K41" s="120"/>
      <c r="L41" s="120">
        <v>1090000</v>
      </c>
      <c r="M41" s="120"/>
      <c r="N41" s="120">
        <f t="shared" si="4"/>
        <v>1090000</v>
      </c>
      <c r="O41" s="120"/>
      <c r="P41" s="120">
        <v>1032500</v>
      </c>
      <c r="Q41" s="120">
        <v>1032066</v>
      </c>
      <c r="R41" s="120">
        <f aca="true" t="shared" si="5" ref="R41:R46">Q41/P41*100</f>
        <v>99.95796610169492</v>
      </c>
      <c r="S41" s="105" t="s">
        <v>135</v>
      </c>
      <c r="U41" s="93"/>
      <c r="V41" s="93"/>
      <c r="W41" s="93"/>
      <c r="X41" s="93"/>
      <c r="Y41" s="93"/>
      <c r="Z41" s="93"/>
    </row>
    <row r="42" spans="1:26" ht="15" customHeight="1">
      <c r="A42" s="99">
        <v>969</v>
      </c>
      <c r="B42" s="118">
        <f>A42+20000</f>
        <v>20969</v>
      </c>
      <c r="C42" s="99">
        <v>2212</v>
      </c>
      <c r="D42" s="99">
        <v>6121</v>
      </c>
      <c r="E42" s="99">
        <v>40</v>
      </c>
      <c r="F42" s="119" t="s">
        <v>366</v>
      </c>
      <c r="G42" s="103">
        <v>0.45</v>
      </c>
      <c r="H42" s="120">
        <f>G42*1000000</f>
        <v>450000</v>
      </c>
      <c r="I42" s="120"/>
      <c r="J42" s="120"/>
      <c r="K42" s="120"/>
      <c r="L42" s="120"/>
      <c r="M42" s="120"/>
      <c r="N42" s="120">
        <f t="shared" si="4"/>
        <v>450000</v>
      </c>
      <c r="O42" s="120"/>
      <c r="P42" s="120">
        <v>345000</v>
      </c>
      <c r="Q42" s="120">
        <v>342733</v>
      </c>
      <c r="R42" s="120">
        <f t="shared" si="5"/>
        <v>99.34289855072464</v>
      </c>
      <c r="S42" s="105" t="s">
        <v>135</v>
      </c>
      <c r="U42" s="93"/>
      <c r="V42" s="93"/>
      <c r="W42" s="93"/>
      <c r="X42" s="93"/>
      <c r="Y42" s="93"/>
      <c r="Z42" s="93"/>
    </row>
    <row r="43" spans="1:26" ht="15" customHeight="1">
      <c r="A43" s="99"/>
      <c r="B43" s="118">
        <v>25090</v>
      </c>
      <c r="C43" s="99">
        <v>2219</v>
      </c>
      <c r="D43" s="99">
        <v>6121</v>
      </c>
      <c r="E43" s="99">
        <v>41</v>
      </c>
      <c r="F43" s="119" t="s">
        <v>367</v>
      </c>
      <c r="G43" s="103"/>
      <c r="H43" s="120">
        <v>0</v>
      </c>
      <c r="I43" s="120"/>
      <c r="J43" s="120"/>
      <c r="K43" s="120">
        <v>313000</v>
      </c>
      <c r="L43" s="120"/>
      <c r="M43" s="120"/>
      <c r="N43" s="120">
        <f t="shared" si="4"/>
        <v>313000</v>
      </c>
      <c r="O43" s="120"/>
      <c r="P43" s="120">
        <v>670500</v>
      </c>
      <c r="Q43" s="120">
        <v>670494</v>
      </c>
      <c r="R43" s="120">
        <f t="shared" si="5"/>
        <v>99.99910514541386</v>
      </c>
      <c r="S43" s="105" t="s">
        <v>135</v>
      </c>
      <c r="U43" s="93"/>
      <c r="V43" s="93"/>
      <c r="W43" s="93"/>
      <c r="X43" s="93"/>
      <c r="Y43" s="93"/>
      <c r="Z43" s="93"/>
    </row>
    <row r="44" spans="1:26" ht="15" customHeight="1">
      <c r="A44" s="99">
        <v>4964</v>
      </c>
      <c r="B44" s="118">
        <f>A44+20000</f>
        <v>24964</v>
      </c>
      <c r="C44" s="99">
        <v>2212</v>
      </c>
      <c r="D44" s="99">
        <v>6121</v>
      </c>
      <c r="E44" s="99">
        <v>42</v>
      </c>
      <c r="F44" s="105" t="s">
        <v>368</v>
      </c>
      <c r="G44" s="103">
        <v>0.04</v>
      </c>
      <c r="H44" s="120">
        <f>G44*1000000</f>
        <v>40000</v>
      </c>
      <c r="I44" s="120"/>
      <c r="J44" s="120"/>
      <c r="K44" s="120"/>
      <c r="L44" s="120"/>
      <c r="M44" s="120"/>
      <c r="N44" s="120">
        <f t="shared" si="4"/>
        <v>40000</v>
      </c>
      <c r="O44" s="120"/>
      <c r="P44" s="120">
        <v>40000</v>
      </c>
      <c r="Q44" s="120">
        <v>39960</v>
      </c>
      <c r="R44" s="120">
        <f t="shared" si="5"/>
        <v>99.9</v>
      </c>
      <c r="S44" s="105" t="s">
        <v>135</v>
      </c>
      <c r="U44" s="93"/>
      <c r="V44" s="93"/>
      <c r="W44" s="93"/>
      <c r="X44" s="93"/>
      <c r="Y44" s="93"/>
      <c r="Z44" s="93"/>
    </row>
    <row r="45" spans="1:26" ht="15" customHeight="1">
      <c r="A45" s="99"/>
      <c r="B45" s="118">
        <v>25135</v>
      </c>
      <c r="C45" s="99">
        <v>2219</v>
      </c>
      <c r="D45" s="99">
        <v>6121</v>
      </c>
      <c r="E45" s="99">
        <v>43</v>
      </c>
      <c r="F45" s="105" t="s">
        <v>98</v>
      </c>
      <c r="G45" s="103"/>
      <c r="H45" s="120">
        <v>0</v>
      </c>
      <c r="I45" s="120"/>
      <c r="J45" s="120"/>
      <c r="K45" s="120"/>
      <c r="L45" s="120"/>
      <c r="M45" s="120"/>
      <c r="N45" s="120"/>
      <c r="O45" s="120"/>
      <c r="P45" s="120">
        <v>1500</v>
      </c>
      <c r="Q45" s="120">
        <v>960</v>
      </c>
      <c r="R45" s="120">
        <f t="shared" si="5"/>
        <v>64</v>
      </c>
      <c r="S45" s="105" t="s">
        <v>135</v>
      </c>
      <c r="U45" s="93"/>
      <c r="V45" s="93"/>
      <c r="W45" s="93"/>
      <c r="X45" s="93"/>
      <c r="Y45" s="93"/>
      <c r="Z45" s="93"/>
    </row>
    <row r="46" spans="1:26" ht="15" customHeight="1">
      <c r="A46" s="99"/>
      <c r="B46" s="118">
        <v>24740</v>
      </c>
      <c r="C46" s="99">
        <v>2321</v>
      </c>
      <c r="D46" s="99">
        <v>6121</v>
      </c>
      <c r="E46" s="99">
        <v>44</v>
      </c>
      <c r="F46" s="105" t="s">
        <v>369</v>
      </c>
      <c r="G46" s="103"/>
      <c r="H46" s="120">
        <v>0</v>
      </c>
      <c r="I46" s="120"/>
      <c r="J46" s="120"/>
      <c r="K46" s="120"/>
      <c r="L46" s="120"/>
      <c r="M46" s="120"/>
      <c r="N46" s="120"/>
      <c r="O46" s="120"/>
      <c r="P46" s="120">
        <v>44000</v>
      </c>
      <c r="Q46" s="120">
        <v>43824</v>
      </c>
      <c r="R46" s="120">
        <f t="shared" si="5"/>
        <v>99.6</v>
      </c>
      <c r="S46" s="105" t="s">
        <v>135</v>
      </c>
      <c r="U46" s="93"/>
      <c r="V46" s="93"/>
      <c r="W46" s="93"/>
      <c r="X46" s="93"/>
      <c r="Y46" s="93"/>
      <c r="Z46" s="93"/>
    </row>
    <row r="47" spans="1:26" ht="15" customHeight="1">
      <c r="A47" s="99">
        <v>4864</v>
      </c>
      <c r="B47" s="118">
        <f>A47+20000</f>
        <v>24864</v>
      </c>
      <c r="C47" s="99">
        <v>2212</v>
      </c>
      <c r="D47" s="99">
        <v>6121</v>
      </c>
      <c r="E47" s="99">
        <v>45</v>
      </c>
      <c r="F47" s="119" t="s">
        <v>370</v>
      </c>
      <c r="G47" s="103">
        <v>2</v>
      </c>
      <c r="H47" s="120">
        <f>G47*1000000</f>
        <v>2000000</v>
      </c>
      <c r="I47" s="120"/>
      <c r="J47" s="120"/>
      <c r="K47" s="120"/>
      <c r="L47" s="120"/>
      <c r="M47" s="120"/>
      <c r="N47" s="120">
        <v>128900</v>
      </c>
      <c r="O47" s="120">
        <f>-113000-13000</f>
        <v>-126000</v>
      </c>
      <c r="P47" s="120">
        <v>400</v>
      </c>
      <c r="Q47" s="120">
        <v>0</v>
      </c>
      <c r="R47" s="120">
        <f aca="true" t="shared" si="6" ref="R47:R55">Q47/P47*100</f>
        <v>0</v>
      </c>
      <c r="S47" s="105" t="s">
        <v>135</v>
      </c>
      <c r="U47" s="93"/>
      <c r="V47" s="93"/>
      <c r="W47" s="93"/>
      <c r="X47" s="93"/>
      <c r="Y47" s="93"/>
      <c r="Z47" s="93"/>
    </row>
    <row r="48" spans="1:26" ht="15" customHeight="1">
      <c r="A48" s="99">
        <v>4188</v>
      </c>
      <c r="B48" s="118">
        <f>A48+20000</f>
        <v>24188</v>
      </c>
      <c r="C48" s="99">
        <v>2333</v>
      </c>
      <c r="D48" s="99">
        <v>6121</v>
      </c>
      <c r="E48" s="99">
        <v>46</v>
      </c>
      <c r="F48" s="119" t="s">
        <v>371</v>
      </c>
      <c r="G48" s="103">
        <v>0.05</v>
      </c>
      <c r="H48" s="120">
        <f>G48*1000000</f>
        <v>50000</v>
      </c>
      <c r="I48" s="120"/>
      <c r="J48" s="120"/>
      <c r="K48" s="120"/>
      <c r="L48" s="120"/>
      <c r="M48" s="120"/>
      <c r="N48" s="120">
        <f>H48+I48+J48+K48+L48+M48</f>
        <v>50000</v>
      </c>
      <c r="O48" s="120"/>
      <c r="P48" s="120">
        <v>0</v>
      </c>
      <c r="Q48" s="120">
        <v>0</v>
      </c>
      <c r="R48" s="120">
        <v>0</v>
      </c>
      <c r="S48" s="105" t="s">
        <v>135</v>
      </c>
      <c r="U48" s="93"/>
      <c r="V48" s="93"/>
      <c r="W48" s="93"/>
      <c r="X48" s="93"/>
      <c r="Y48" s="93"/>
      <c r="Z48" s="93"/>
    </row>
    <row r="49" spans="1:26" ht="15" customHeight="1">
      <c r="A49" s="99"/>
      <c r="B49" s="118">
        <v>25108</v>
      </c>
      <c r="C49" s="99">
        <v>3725</v>
      </c>
      <c r="D49" s="99">
        <v>6121</v>
      </c>
      <c r="E49" s="99">
        <v>47</v>
      </c>
      <c r="F49" s="119" t="s">
        <v>372</v>
      </c>
      <c r="G49" s="103"/>
      <c r="H49" s="120">
        <v>0</v>
      </c>
      <c r="I49" s="120"/>
      <c r="J49" s="120"/>
      <c r="K49" s="120"/>
      <c r="L49" s="120"/>
      <c r="M49" s="120"/>
      <c r="N49" s="120">
        <v>0</v>
      </c>
      <c r="O49" s="120">
        <v>500000</v>
      </c>
      <c r="P49" s="120">
        <v>588000</v>
      </c>
      <c r="Q49" s="120">
        <v>587107</v>
      </c>
      <c r="R49" s="120">
        <f t="shared" si="6"/>
        <v>99.84812925170068</v>
      </c>
      <c r="S49" s="105" t="s">
        <v>135</v>
      </c>
      <c r="U49" s="93"/>
      <c r="V49" s="93"/>
      <c r="W49" s="93"/>
      <c r="X49" s="93"/>
      <c r="Y49" s="93"/>
      <c r="Z49" s="93"/>
    </row>
    <row r="50" spans="1:26" ht="15" customHeight="1">
      <c r="A50" s="99">
        <v>4759</v>
      </c>
      <c r="B50" s="118">
        <f>A50+20000</f>
        <v>24759</v>
      </c>
      <c r="C50" s="99">
        <v>2321</v>
      </c>
      <c r="D50" s="99">
        <v>6121</v>
      </c>
      <c r="E50" s="99">
        <v>48</v>
      </c>
      <c r="F50" s="119" t="s">
        <v>373</v>
      </c>
      <c r="G50" s="103">
        <v>0.45</v>
      </c>
      <c r="H50" s="120">
        <f>G50*1000000</f>
        <v>450000</v>
      </c>
      <c r="I50" s="120"/>
      <c r="J50" s="120"/>
      <c r="K50" s="120"/>
      <c r="L50" s="120"/>
      <c r="M50" s="120"/>
      <c r="N50" s="120">
        <f>H50+I50+J50+K50+L50+M50</f>
        <v>450000</v>
      </c>
      <c r="O50" s="120"/>
      <c r="P50" s="120">
        <v>445000</v>
      </c>
      <c r="Q50" s="120">
        <v>444620</v>
      </c>
      <c r="R50" s="120">
        <f t="shared" si="6"/>
        <v>99.91460674157302</v>
      </c>
      <c r="S50" s="105" t="s">
        <v>135</v>
      </c>
      <c r="U50" s="93"/>
      <c r="V50" s="93"/>
      <c r="W50" s="93"/>
      <c r="X50" s="93"/>
      <c r="Y50" s="93"/>
      <c r="Z50" s="93"/>
    </row>
    <row r="51" spans="1:26" ht="15" customHeight="1">
      <c r="A51" s="99"/>
      <c r="B51" s="118">
        <v>24942</v>
      </c>
      <c r="C51" s="99">
        <v>2221</v>
      </c>
      <c r="D51" s="99">
        <v>6121</v>
      </c>
      <c r="E51" s="99">
        <v>49</v>
      </c>
      <c r="F51" s="119" t="s">
        <v>60</v>
      </c>
      <c r="G51" s="103"/>
      <c r="H51" s="120">
        <v>0</v>
      </c>
      <c r="I51" s="120"/>
      <c r="J51" s="120">
        <v>106000</v>
      </c>
      <c r="K51" s="120"/>
      <c r="L51" s="120"/>
      <c r="M51" s="120"/>
      <c r="N51" s="120">
        <f>H51+I51+J51+K51+L51+M51</f>
        <v>106000</v>
      </c>
      <c r="O51" s="120"/>
      <c r="P51" s="120">
        <v>106000</v>
      </c>
      <c r="Q51" s="120">
        <v>105840</v>
      </c>
      <c r="R51" s="120">
        <f t="shared" si="6"/>
        <v>99.84905660377359</v>
      </c>
      <c r="S51" s="105" t="s">
        <v>135</v>
      </c>
      <c r="U51" s="93"/>
      <c r="V51" s="93"/>
      <c r="W51" s="93"/>
      <c r="X51" s="93"/>
      <c r="Y51" s="93"/>
      <c r="Z51" s="93"/>
    </row>
    <row r="52" spans="1:26" ht="15" customHeight="1">
      <c r="A52" s="99"/>
      <c r="B52" s="118">
        <v>25141</v>
      </c>
      <c r="C52" s="99">
        <v>2219</v>
      </c>
      <c r="D52" s="99">
        <v>6121</v>
      </c>
      <c r="E52" s="99">
        <v>50</v>
      </c>
      <c r="F52" s="119" t="s">
        <v>265</v>
      </c>
      <c r="G52" s="103"/>
      <c r="H52" s="120">
        <v>0</v>
      </c>
      <c r="I52" s="120"/>
      <c r="J52" s="120"/>
      <c r="K52" s="120"/>
      <c r="L52" s="120"/>
      <c r="M52" s="120"/>
      <c r="N52" s="120"/>
      <c r="O52" s="120"/>
      <c r="P52" s="120">
        <v>79864</v>
      </c>
      <c r="Q52" s="120">
        <v>79864</v>
      </c>
      <c r="R52" s="120">
        <f t="shared" si="6"/>
        <v>100</v>
      </c>
      <c r="S52" s="105" t="s">
        <v>269</v>
      </c>
      <c r="U52" s="93"/>
      <c r="V52" s="93"/>
      <c r="W52" s="93"/>
      <c r="X52" s="93"/>
      <c r="Y52" s="93"/>
      <c r="Z52" s="93"/>
    </row>
    <row r="53" spans="1:26" ht="15" customHeight="1">
      <c r="A53" s="99"/>
      <c r="B53" s="118">
        <v>24983</v>
      </c>
      <c r="C53" s="99">
        <v>2212</v>
      </c>
      <c r="D53" s="99">
        <v>6121</v>
      </c>
      <c r="E53" s="99">
        <v>51</v>
      </c>
      <c r="F53" s="119" t="s">
        <v>374</v>
      </c>
      <c r="G53" s="103">
        <v>0.5</v>
      </c>
      <c r="H53" s="120">
        <f aca="true" t="shared" si="7" ref="H53:H60">G53*1000000</f>
        <v>500000</v>
      </c>
      <c r="I53" s="120"/>
      <c r="J53" s="120"/>
      <c r="K53" s="120"/>
      <c r="L53" s="120">
        <v>15000</v>
      </c>
      <c r="M53" s="120"/>
      <c r="N53" s="120">
        <v>545000</v>
      </c>
      <c r="O53" s="120">
        <v>20000</v>
      </c>
      <c r="P53" s="120">
        <v>439500</v>
      </c>
      <c r="Q53" s="120">
        <v>439058.8</v>
      </c>
      <c r="R53" s="120">
        <f t="shared" si="6"/>
        <v>99.89961319681456</v>
      </c>
      <c r="S53" s="105" t="s">
        <v>135</v>
      </c>
      <c r="U53" s="93"/>
      <c r="V53" s="93"/>
      <c r="W53" s="93"/>
      <c r="X53" s="93"/>
      <c r="Y53" s="93"/>
      <c r="Z53" s="93"/>
    </row>
    <row r="54" spans="1:20" s="93" customFormat="1" ht="15" customHeight="1">
      <c r="A54" s="106" t="s">
        <v>375</v>
      </c>
      <c r="B54" s="118">
        <f>A54+20000</f>
        <v>25037</v>
      </c>
      <c r="C54" s="106">
        <v>2212</v>
      </c>
      <c r="D54" s="106">
        <v>6121</v>
      </c>
      <c r="E54" s="99">
        <v>52</v>
      </c>
      <c r="F54" s="172" t="s">
        <v>376</v>
      </c>
      <c r="G54" s="112">
        <v>0.05</v>
      </c>
      <c r="H54" s="120">
        <f t="shared" si="7"/>
        <v>50000</v>
      </c>
      <c r="I54" s="120"/>
      <c r="J54" s="120"/>
      <c r="K54" s="120"/>
      <c r="L54" s="120"/>
      <c r="M54" s="120"/>
      <c r="N54" s="120">
        <f aca="true" t="shared" si="8" ref="N54:N65">H54+I54+J54+K54+L54+M54</f>
        <v>50000</v>
      </c>
      <c r="O54" s="120"/>
      <c r="P54" s="120">
        <v>0</v>
      </c>
      <c r="Q54" s="120">
        <v>0</v>
      </c>
      <c r="R54" s="120">
        <v>0</v>
      </c>
      <c r="S54" s="105" t="s">
        <v>135</v>
      </c>
      <c r="T54" s="92"/>
    </row>
    <row r="55" spans="1:20" s="93" customFormat="1" ht="15" customHeight="1">
      <c r="A55" s="106"/>
      <c r="B55" s="118">
        <v>24868</v>
      </c>
      <c r="C55" s="106">
        <v>2219</v>
      </c>
      <c r="D55" s="106">
        <v>6121</v>
      </c>
      <c r="E55" s="99">
        <v>53</v>
      </c>
      <c r="F55" s="172" t="s">
        <v>710</v>
      </c>
      <c r="G55" s="112"/>
      <c r="H55" s="120">
        <v>0</v>
      </c>
      <c r="I55" s="120"/>
      <c r="J55" s="120"/>
      <c r="K55" s="120"/>
      <c r="L55" s="120"/>
      <c r="M55" s="120"/>
      <c r="N55" s="120"/>
      <c r="O55" s="120"/>
      <c r="P55" s="120">
        <v>500</v>
      </c>
      <c r="Q55" s="120">
        <v>133</v>
      </c>
      <c r="R55" s="120">
        <f t="shared" si="6"/>
        <v>26.6</v>
      </c>
      <c r="S55" s="105" t="s">
        <v>135</v>
      </c>
      <c r="T55" s="92"/>
    </row>
    <row r="56" spans="1:20" s="93" customFormat="1" ht="15" customHeight="1">
      <c r="A56" s="106"/>
      <c r="B56" s="118">
        <v>24365</v>
      </c>
      <c r="C56" s="106">
        <v>2219</v>
      </c>
      <c r="D56" s="106">
        <v>6121</v>
      </c>
      <c r="E56" s="99">
        <v>54</v>
      </c>
      <c r="F56" s="172" t="s">
        <v>812</v>
      </c>
      <c r="G56" s="112"/>
      <c r="H56" s="120">
        <v>0</v>
      </c>
      <c r="I56" s="120"/>
      <c r="J56" s="120"/>
      <c r="K56" s="120"/>
      <c r="L56" s="120"/>
      <c r="M56" s="120"/>
      <c r="N56" s="120"/>
      <c r="O56" s="120"/>
      <c r="P56" s="120">
        <v>4000</v>
      </c>
      <c r="Q56" s="120">
        <v>0</v>
      </c>
      <c r="R56" s="120">
        <v>0</v>
      </c>
      <c r="S56" s="105" t="s">
        <v>135</v>
      </c>
      <c r="T56" s="92"/>
    </row>
    <row r="57" spans="1:26" ht="15" customHeight="1">
      <c r="A57" s="99">
        <v>4367</v>
      </c>
      <c r="B57" s="118">
        <f>A57+20000</f>
        <v>24367</v>
      </c>
      <c r="C57" s="99">
        <v>2219</v>
      </c>
      <c r="D57" s="99">
        <v>6121</v>
      </c>
      <c r="E57" s="99">
        <v>55</v>
      </c>
      <c r="F57" s="119" t="s">
        <v>377</v>
      </c>
      <c r="G57" s="103">
        <v>0.35</v>
      </c>
      <c r="H57" s="120">
        <f t="shared" si="7"/>
        <v>350000</v>
      </c>
      <c r="I57" s="120"/>
      <c r="J57" s="120"/>
      <c r="K57" s="120"/>
      <c r="L57" s="120"/>
      <c r="M57" s="120"/>
      <c r="N57" s="120">
        <f t="shared" si="8"/>
        <v>350000</v>
      </c>
      <c r="O57" s="120"/>
      <c r="P57" s="120">
        <v>0</v>
      </c>
      <c r="Q57" s="120">
        <v>0</v>
      </c>
      <c r="R57" s="120">
        <v>0</v>
      </c>
      <c r="S57" s="105" t="s">
        <v>135</v>
      </c>
      <c r="U57" s="93"/>
      <c r="V57" s="93"/>
      <c r="W57" s="93"/>
      <c r="X57" s="93"/>
      <c r="Y57" s="93"/>
      <c r="Z57" s="93"/>
    </row>
    <row r="58" spans="1:26" ht="15" customHeight="1">
      <c r="A58" s="99">
        <v>4781</v>
      </c>
      <c r="B58" s="118">
        <f>A58+20000</f>
        <v>24781</v>
      </c>
      <c r="C58" s="99">
        <v>2219</v>
      </c>
      <c r="D58" s="99">
        <v>6121</v>
      </c>
      <c r="E58" s="99">
        <v>56</v>
      </c>
      <c r="F58" s="119" t="s">
        <v>378</v>
      </c>
      <c r="G58" s="103">
        <v>0.44</v>
      </c>
      <c r="H58" s="120">
        <f t="shared" si="7"/>
        <v>440000</v>
      </c>
      <c r="I58" s="120"/>
      <c r="J58" s="120"/>
      <c r="K58" s="120"/>
      <c r="L58" s="120"/>
      <c r="M58" s="120"/>
      <c r="N58" s="120">
        <f t="shared" si="8"/>
        <v>440000</v>
      </c>
      <c r="O58" s="120"/>
      <c r="P58" s="120">
        <v>48000</v>
      </c>
      <c r="Q58" s="120">
        <v>47059</v>
      </c>
      <c r="R58" s="120">
        <f aca="true" t="shared" si="9" ref="R58:R67">Q58/P58*100</f>
        <v>98.03958333333334</v>
      </c>
      <c r="S58" s="105" t="s">
        <v>135</v>
      </c>
      <c r="U58" s="93"/>
      <c r="V58" s="93"/>
      <c r="W58" s="93"/>
      <c r="X58" s="93"/>
      <c r="Y58" s="93"/>
      <c r="Z58" s="93"/>
    </row>
    <row r="59" spans="1:26" s="178" customFormat="1" ht="15" customHeight="1">
      <c r="A59" s="173">
        <v>5077</v>
      </c>
      <c r="B59" s="118">
        <f>A59+20000</f>
        <v>25077</v>
      </c>
      <c r="C59" s="174">
        <v>2212</v>
      </c>
      <c r="D59" s="174">
        <v>6121</v>
      </c>
      <c r="E59" s="99">
        <v>57</v>
      </c>
      <c r="F59" s="132" t="s">
        <v>379</v>
      </c>
      <c r="G59" s="109">
        <v>0.2</v>
      </c>
      <c r="H59" s="120">
        <f t="shared" si="7"/>
        <v>200000</v>
      </c>
      <c r="I59" s="120"/>
      <c r="J59" s="120"/>
      <c r="K59" s="120"/>
      <c r="L59" s="120"/>
      <c r="M59" s="120"/>
      <c r="N59" s="120">
        <f t="shared" si="8"/>
        <v>200000</v>
      </c>
      <c r="O59" s="120"/>
      <c r="P59" s="120">
        <v>146000</v>
      </c>
      <c r="Q59" s="120">
        <v>145320</v>
      </c>
      <c r="R59" s="120">
        <f t="shared" si="9"/>
        <v>99.53424657534246</v>
      </c>
      <c r="S59" s="105" t="s">
        <v>135</v>
      </c>
      <c r="T59" s="175"/>
      <c r="U59" s="176"/>
      <c r="V59" s="177"/>
      <c r="W59" s="177"/>
      <c r="X59" s="177"/>
      <c r="Y59" s="177"/>
      <c r="Z59" s="177"/>
    </row>
    <row r="60" spans="1:26" ht="15" customHeight="1">
      <c r="A60" s="106">
        <v>4780</v>
      </c>
      <c r="B60" s="118">
        <f>A60+20000</f>
        <v>24780</v>
      </c>
      <c r="C60" s="106">
        <v>2219</v>
      </c>
      <c r="D60" s="106">
        <v>6121</v>
      </c>
      <c r="E60" s="99">
        <v>58</v>
      </c>
      <c r="F60" s="111" t="s">
        <v>380</v>
      </c>
      <c r="G60" s="103">
        <v>0.5</v>
      </c>
      <c r="H60" s="120">
        <f t="shared" si="7"/>
        <v>500000</v>
      </c>
      <c r="I60" s="120"/>
      <c r="J60" s="120"/>
      <c r="K60" s="120"/>
      <c r="L60" s="120"/>
      <c r="M60" s="120"/>
      <c r="N60" s="120">
        <f t="shared" si="8"/>
        <v>500000</v>
      </c>
      <c r="O60" s="120"/>
      <c r="P60" s="120">
        <v>457000</v>
      </c>
      <c r="Q60" s="120">
        <v>456483.2</v>
      </c>
      <c r="R60" s="120">
        <f t="shared" si="9"/>
        <v>99.88691466083152</v>
      </c>
      <c r="S60" s="105" t="s">
        <v>135</v>
      </c>
      <c r="U60" s="93"/>
      <c r="V60" s="93"/>
      <c r="W60" s="93"/>
      <c r="X60" s="93"/>
      <c r="Y60" s="93"/>
      <c r="Z60" s="93"/>
    </row>
    <row r="61" spans="1:26" ht="15" customHeight="1">
      <c r="A61" s="134"/>
      <c r="B61" s="118">
        <v>24757</v>
      </c>
      <c r="C61" s="134">
        <v>2219</v>
      </c>
      <c r="D61" s="134">
        <v>6121</v>
      </c>
      <c r="E61" s="99">
        <v>59</v>
      </c>
      <c r="F61" s="179" t="s">
        <v>381</v>
      </c>
      <c r="G61" s="180"/>
      <c r="H61" s="181">
        <v>0</v>
      </c>
      <c r="I61" s="181"/>
      <c r="J61" s="181">
        <v>75000</v>
      </c>
      <c r="K61" s="181"/>
      <c r="L61" s="181"/>
      <c r="M61" s="181"/>
      <c r="N61" s="120">
        <f t="shared" si="8"/>
        <v>75000</v>
      </c>
      <c r="O61" s="181"/>
      <c r="P61" s="120">
        <v>75000</v>
      </c>
      <c r="Q61" s="181">
        <v>68034</v>
      </c>
      <c r="R61" s="120">
        <f t="shared" si="9"/>
        <v>90.712</v>
      </c>
      <c r="S61" s="105" t="s">
        <v>135</v>
      </c>
      <c r="U61" s="93"/>
      <c r="V61" s="93"/>
      <c r="W61" s="93"/>
      <c r="X61" s="93"/>
      <c r="Y61" s="93"/>
      <c r="Z61" s="93"/>
    </row>
    <row r="62" spans="1:26" ht="15" customHeight="1">
      <c r="A62" s="134"/>
      <c r="B62" s="118">
        <v>24858</v>
      </c>
      <c r="C62" s="134">
        <v>2219</v>
      </c>
      <c r="D62" s="134">
        <v>6121</v>
      </c>
      <c r="E62" s="99">
        <v>60</v>
      </c>
      <c r="F62" s="179" t="s">
        <v>382</v>
      </c>
      <c r="G62" s="180"/>
      <c r="H62" s="181">
        <v>0</v>
      </c>
      <c r="I62" s="181"/>
      <c r="J62" s="181">
        <v>95000</v>
      </c>
      <c r="K62" s="181"/>
      <c r="L62" s="181"/>
      <c r="M62" s="181"/>
      <c r="N62" s="120">
        <f t="shared" si="8"/>
        <v>95000</v>
      </c>
      <c r="O62" s="181"/>
      <c r="P62" s="120">
        <v>86000</v>
      </c>
      <c r="Q62" s="181">
        <v>85770</v>
      </c>
      <c r="R62" s="120">
        <f t="shared" si="9"/>
        <v>99.73255813953489</v>
      </c>
      <c r="S62" s="105" t="s">
        <v>135</v>
      </c>
      <c r="U62" s="93"/>
      <c r="V62" s="93"/>
      <c r="W62" s="93"/>
      <c r="X62" s="93"/>
      <c r="Y62" s="93"/>
      <c r="Z62" s="93"/>
    </row>
    <row r="63" spans="1:26" s="175" customFormat="1" ht="15" customHeight="1">
      <c r="A63" s="182"/>
      <c r="B63" s="118">
        <v>24979</v>
      </c>
      <c r="C63" s="182">
        <v>2219</v>
      </c>
      <c r="D63" s="182">
        <v>6121</v>
      </c>
      <c r="E63" s="99">
        <v>61</v>
      </c>
      <c r="F63" s="183" t="s">
        <v>383</v>
      </c>
      <c r="G63" s="180"/>
      <c r="H63" s="181">
        <v>0</v>
      </c>
      <c r="I63" s="181"/>
      <c r="J63" s="181">
        <v>24000</v>
      </c>
      <c r="K63" s="181"/>
      <c r="L63" s="181"/>
      <c r="M63" s="181"/>
      <c r="N63" s="120">
        <f t="shared" si="8"/>
        <v>24000</v>
      </c>
      <c r="O63" s="181"/>
      <c r="P63" s="120">
        <v>24000</v>
      </c>
      <c r="Q63" s="181">
        <v>23616</v>
      </c>
      <c r="R63" s="120">
        <f t="shared" si="9"/>
        <v>98.4</v>
      </c>
      <c r="S63" s="184" t="s">
        <v>135</v>
      </c>
      <c r="T63" s="185"/>
      <c r="U63" s="186"/>
      <c r="V63" s="185"/>
      <c r="W63" s="185"/>
      <c r="X63" s="185"/>
      <c r="Y63" s="185"/>
      <c r="Z63" s="185"/>
    </row>
    <row r="64" spans="1:26" ht="15" customHeight="1">
      <c r="A64" s="182">
        <v>4948</v>
      </c>
      <c r="B64" s="118">
        <f>A64+20000</f>
        <v>24948</v>
      </c>
      <c r="C64" s="182">
        <v>2219</v>
      </c>
      <c r="D64" s="182">
        <v>6121</v>
      </c>
      <c r="E64" s="99">
        <v>62</v>
      </c>
      <c r="F64" s="183" t="s">
        <v>384</v>
      </c>
      <c r="G64" s="180">
        <v>0.35</v>
      </c>
      <c r="H64" s="181">
        <f>G64*1000000</f>
        <v>350000</v>
      </c>
      <c r="I64" s="181"/>
      <c r="J64" s="181"/>
      <c r="K64" s="181"/>
      <c r="L64" s="181"/>
      <c r="M64" s="181"/>
      <c r="N64" s="120">
        <f t="shared" si="8"/>
        <v>350000</v>
      </c>
      <c r="O64" s="181"/>
      <c r="P64" s="120">
        <f>350000-40000</f>
        <v>310000</v>
      </c>
      <c r="Q64" s="181">
        <v>222000</v>
      </c>
      <c r="R64" s="120">
        <f t="shared" si="9"/>
        <v>71.61290322580646</v>
      </c>
      <c r="S64" s="184" t="s">
        <v>135</v>
      </c>
      <c r="U64" s="93"/>
      <c r="V64" s="93"/>
      <c r="W64" s="93"/>
      <c r="X64" s="93"/>
      <c r="Y64" s="93"/>
      <c r="Z64" s="93"/>
    </row>
    <row r="65" spans="1:26" s="164" customFormat="1" ht="15" customHeight="1">
      <c r="A65" s="99"/>
      <c r="B65" s="166">
        <v>24980</v>
      </c>
      <c r="C65" s="99">
        <v>2219</v>
      </c>
      <c r="D65" s="99">
        <v>6121</v>
      </c>
      <c r="E65" s="99">
        <v>63</v>
      </c>
      <c r="F65" s="119" t="s">
        <v>966</v>
      </c>
      <c r="G65" s="103"/>
      <c r="H65" s="120">
        <v>0</v>
      </c>
      <c r="I65" s="120"/>
      <c r="J65" s="120">
        <v>38000</v>
      </c>
      <c r="K65" s="120"/>
      <c r="L65" s="120"/>
      <c r="M65" s="120"/>
      <c r="N65" s="120">
        <f t="shared" si="8"/>
        <v>38000</v>
      </c>
      <c r="O65" s="120"/>
      <c r="P65" s="120">
        <v>38000</v>
      </c>
      <c r="Q65" s="120">
        <v>37056</v>
      </c>
      <c r="R65" s="120">
        <f t="shared" si="9"/>
        <v>97.51578947368421</v>
      </c>
      <c r="S65" s="105" t="s">
        <v>135</v>
      </c>
      <c r="T65" s="163"/>
      <c r="U65" s="163"/>
      <c r="V65" s="163"/>
      <c r="W65" s="163"/>
      <c r="X65" s="163"/>
      <c r="Y65" s="163"/>
      <c r="Z65" s="163"/>
    </row>
    <row r="66" spans="1:26" ht="15" customHeight="1">
      <c r="A66" s="167">
        <v>865</v>
      </c>
      <c r="B66" s="187">
        <f>A66+20000</f>
        <v>20865</v>
      </c>
      <c r="C66" s="167">
        <v>3631</v>
      </c>
      <c r="D66" s="167">
        <v>6121</v>
      </c>
      <c r="E66" s="99">
        <v>64</v>
      </c>
      <c r="F66" s="168" t="s">
        <v>967</v>
      </c>
      <c r="G66" s="141">
        <v>1</v>
      </c>
      <c r="H66" s="169">
        <f>G66*1000000</f>
        <v>1000000</v>
      </c>
      <c r="I66" s="169"/>
      <c r="J66" s="169"/>
      <c r="K66" s="169"/>
      <c r="L66" s="169"/>
      <c r="M66" s="169"/>
      <c r="N66" s="120">
        <v>613000</v>
      </c>
      <c r="O66" s="169"/>
      <c r="P66" s="120">
        <v>19000</v>
      </c>
      <c r="Q66" s="169">
        <v>18792</v>
      </c>
      <c r="R66" s="120">
        <f t="shared" si="9"/>
        <v>98.90526315789474</v>
      </c>
      <c r="S66" s="170" t="s">
        <v>135</v>
      </c>
      <c r="U66" s="93"/>
      <c r="V66" s="93"/>
      <c r="W66" s="93"/>
      <c r="X66" s="93"/>
      <c r="Y66" s="93"/>
      <c r="Z66" s="93"/>
    </row>
    <row r="67" spans="1:26" s="175" customFormat="1" ht="15" customHeight="1">
      <c r="A67" s="99">
        <v>4519</v>
      </c>
      <c r="B67" s="118">
        <f>A67+20000</f>
        <v>24519</v>
      </c>
      <c r="C67" s="99">
        <v>2141</v>
      </c>
      <c r="D67" s="99">
        <v>6121</v>
      </c>
      <c r="E67" s="99">
        <v>65</v>
      </c>
      <c r="F67" s="119" t="s">
        <v>385</v>
      </c>
      <c r="G67" s="103">
        <v>1</v>
      </c>
      <c r="H67" s="120">
        <f>G67*1000000+230000</f>
        <v>1230000</v>
      </c>
      <c r="I67" s="120"/>
      <c r="J67" s="120"/>
      <c r="K67" s="120"/>
      <c r="L67" s="120"/>
      <c r="M67" s="120"/>
      <c r="N67" s="120">
        <f>H67+I67+J67+K67+L67+M67</f>
        <v>1230000</v>
      </c>
      <c r="O67" s="120">
        <v>-1000000</v>
      </c>
      <c r="P67" s="120">
        <v>180500</v>
      </c>
      <c r="Q67" s="120">
        <v>180480</v>
      </c>
      <c r="R67" s="120">
        <f t="shared" si="9"/>
        <v>99.98891966759003</v>
      </c>
      <c r="S67" s="105" t="s">
        <v>135</v>
      </c>
      <c r="T67" s="185"/>
      <c r="U67" s="186"/>
      <c r="V67" s="185"/>
      <c r="W67" s="185"/>
      <c r="X67" s="185"/>
      <c r="Y67" s="185"/>
      <c r="Z67" s="185"/>
    </row>
    <row r="68" spans="1:26" s="175" customFormat="1" ht="15" customHeight="1">
      <c r="A68" s="182">
        <v>5045</v>
      </c>
      <c r="B68" s="118">
        <f>A68+20000</f>
        <v>25045</v>
      </c>
      <c r="C68" s="182">
        <v>2141</v>
      </c>
      <c r="D68" s="182">
        <v>6121</v>
      </c>
      <c r="E68" s="99">
        <v>66</v>
      </c>
      <c r="F68" s="183" t="s">
        <v>386</v>
      </c>
      <c r="G68" s="180">
        <v>1</v>
      </c>
      <c r="H68" s="181">
        <f>G68*1000000</f>
        <v>1000000</v>
      </c>
      <c r="I68" s="181"/>
      <c r="J68" s="181"/>
      <c r="K68" s="181">
        <v>-214000</v>
      </c>
      <c r="L68" s="181"/>
      <c r="M68" s="181"/>
      <c r="N68" s="181">
        <f>H68+I68+J68+K68+L68+M68</f>
        <v>786000</v>
      </c>
      <c r="O68" s="181"/>
      <c r="P68" s="181">
        <v>144000</v>
      </c>
      <c r="Q68" s="181">
        <v>144000</v>
      </c>
      <c r="R68" s="181">
        <f aca="true" t="shared" si="10" ref="R68:R81">Q68/P68*100</f>
        <v>100</v>
      </c>
      <c r="S68" s="184" t="s">
        <v>135</v>
      </c>
      <c r="T68" s="185"/>
      <c r="U68" s="186"/>
      <c r="V68" s="185"/>
      <c r="W68" s="185"/>
      <c r="X68" s="185"/>
      <c r="Y68" s="185"/>
      <c r="Z68" s="185"/>
    </row>
    <row r="69" spans="1:26" s="190" customFormat="1" ht="15" customHeight="1">
      <c r="A69" s="99"/>
      <c r="B69" s="166">
        <v>24734</v>
      </c>
      <c r="C69" s="99">
        <v>2321</v>
      </c>
      <c r="D69" s="99">
        <v>6121</v>
      </c>
      <c r="E69" s="99">
        <v>67</v>
      </c>
      <c r="F69" s="119" t="s">
        <v>99</v>
      </c>
      <c r="G69" s="103"/>
      <c r="H69" s="120">
        <v>0</v>
      </c>
      <c r="I69" s="120"/>
      <c r="J69" s="120"/>
      <c r="K69" s="120"/>
      <c r="L69" s="120"/>
      <c r="M69" s="120"/>
      <c r="N69" s="120"/>
      <c r="O69" s="120"/>
      <c r="P69" s="120">
        <v>1000</v>
      </c>
      <c r="Q69" s="120">
        <v>302</v>
      </c>
      <c r="R69" s="120">
        <f t="shared" si="10"/>
        <v>30.2</v>
      </c>
      <c r="S69" s="105" t="s">
        <v>135</v>
      </c>
      <c r="T69" s="188"/>
      <c r="U69" s="189"/>
      <c r="V69" s="188"/>
      <c r="W69" s="188"/>
      <c r="X69" s="188"/>
      <c r="Y69" s="188"/>
      <c r="Z69" s="188"/>
    </row>
    <row r="70" spans="1:26" s="175" customFormat="1" ht="15" customHeight="1">
      <c r="A70" s="165"/>
      <c r="B70" s="187">
        <v>24981</v>
      </c>
      <c r="C70" s="165">
        <v>2219</v>
      </c>
      <c r="D70" s="165">
        <v>6121</v>
      </c>
      <c r="E70" s="99">
        <v>68</v>
      </c>
      <c r="F70" s="193" t="s">
        <v>387</v>
      </c>
      <c r="G70" s="192"/>
      <c r="H70" s="292">
        <v>0</v>
      </c>
      <c r="I70" s="292"/>
      <c r="J70" s="292">
        <v>39000</v>
      </c>
      <c r="K70" s="292"/>
      <c r="L70" s="292"/>
      <c r="M70" s="292"/>
      <c r="N70" s="292">
        <f>H70+I70+J70+K70+L70+M70</f>
        <v>39000</v>
      </c>
      <c r="O70" s="292"/>
      <c r="P70" s="292">
        <v>39000</v>
      </c>
      <c r="Q70" s="292">
        <v>38160</v>
      </c>
      <c r="R70" s="292">
        <f t="shared" si="10"/>
        <v>97.84615384615385</v>
      </c>
      <c r="S70" s="293" t="s">
        <v>135</v>
      </c>
      <c r="T70" s="185"/>
      <c r="U70" s="186"/>
      <c r="V70" s="185"/>
      <c r="W70" s="185"/>
      <c r="X70" s="185"/>
      <c r="Y70" s="185"/>
      <c r="Z70" s="185"/>
    </row>
    <row r="71" spans="1:26" s="190" customFormat="1" ht="15" customHeight="1">
      <c r="A71" s="99"/>
      <c r="B71" s="166">
        <v>25105</v>
      </c>
      <c r="C71" s="99">
        <v>3113</v>
      </c>
      <c r="D71" s="99">
        <v>6121</v>
      </c>
      <c r="E71" s="99">
        <v>69</v>
      </c>
      <c r="F71" s="119" t="s">
        <v>974</v>
      </c>
      <c r="G71" s="103"/>
      <c r="H71" s="120">
        <v>0</v>
      </c>
      <c r="I71" s="120"/>
      <c r="J71" s="120"/>
      <c r="K71" s="120"/>
      <c r="L71" s="120"/>
      <c r="M71" s="120">
        <v>220000</v>
      </c>
      <c r="N71" s="120">
        <f>M71</f>
        <v>220000</v>
      </c>
      <c r="O71" s="120"/>
      <c r="P71" s="120">
        <v>181500</v>
      </c>
      <c r="Q71" s="120">
        <v>181248</v>
      </c>
      <c r="R71" s="120">
        <f t="shared" si="10"/>
        <v>99.86115702479339</v>
      </c>
      <c r="S71" s="105" t="s">
        <v>135</v>
      </c>
      <c r="T71" s="188"/>
      <c r="U71" s="189"/>
      <c r="V71" s="188"/>
      <c r="W71" s="188"/>
      <c r="X71" s="188"/>
      <c r="Y71" s="188"/>
      <c r="Z71" s="188"/>
    </row>
    <row r="72" spans="1:26" s="175" customFormat="1" ht="15" customHeight="1">
      <c r="A72" s="165"/>
      <c r="B72" s="187">
        <v>24989</v>
      </c>
      <c r="C72" s="165">
        <v>3113</v>
      </c>
      <c r="D72" s="165">
        <v>6121</v>
      </c>
      <c r="E72" s="99">
        <v>70</v>
      </c>
      <c r="F72" s="193" t="s">
        <v>388</v>
      </c>
      <c r="G72" s="192"/>
      <c r="H72" s="169">
        <v>0</v>
      </c>
      <c r="I72" s="169"/>
      <c r="J72" s="169">
        <v>16000</v>
      </c>
      <c r="K72" s="169"/>
      <c r="L72" s="169"/>
      <c r="M72" s="169"/>
      <c r="N72" s="169">
        <f>H72+I72+J72+K72+L72+M72</f>
        <v>16000</v>
      </c>
      <c r="O72" s="169"/>
      <c r="P72" s="169">
        <v>16000</v>
      </c>
      <c r="Q72" s="169">
        <v>15308</v>
      </c>
      <c r="R72" s="169">
        <f t="shared" si="10"/>
        <v>95.675</v>
      </c>
      <c r="S72" s="170" t="s">
        <v>135</v>
      </c>
      <c r="T72" s="185"/>
      <c r="U72" s="186"/>
      <c r="V72" s="185"/>
      <c r="W72" s="185"/>
      <c r="X72" s="185"/>
      <c r="Y72" s="185"/>
      <c r="Z72" s="185"/>
    </row>
    <row r="73" spans="1:26" s="175" customFormat="1" ht="15" customHeight="1">
      <c r="A73" s="182"/>
      <c r="B73" s="118">
        <v>24991</v>
      </c>
      <c r="C73" s="182">
        <v>3113</v>
      </c>
      <c r="D73" s="182">
        <v>6121</v>
      </c>
      <c r="E73" s="99">
        <v>71</v>
      </c>
      <c r="F73" s="183" t="s">
        <v>389</v>
      </c>
      <c r="G73" s="180"/>
      <c r="H73" s="181">
        <v>0</v>
      </c>
      <c r="I73" s="181"/>
      <c r="J73" s="181">
        <v>16000</v>
      </c>
      <c r="K73" s="181"/>
      <c r="L73" s="181"/>
      <c r="M73" s="181"/>
      <c r="N73" s="181">
        <f>H73+I73+J73+K73+L73+M73</f>
        <v>16000</v>
      </c>
      <c r="O73" s="181"/>
      <c r="P73" s="181">
        <v>16000</v>
      </c>
      <c r="Q73" s="181">
        <v>15308</v>
      </c>
      <c r="R73" s="181">
        <f t="shared" si="10"/>
        <v>95.675</v>
      </c>
      <c r="S73" s="184" t="s">
        <v>135</v>
      </c>
      <c r="T73" s="185"/>
      <c r="U73" s="186"/>
      <c r="V73" s="185"/>
      <c r="W73" s="185"/>
      <c r="X73" s="185"/>
      <c r="Y73" s="185"/>
      <c r="Z73" s="185"/>
    </row>
    <row r="74" spans="1:26" s="190" customFormat="1" ht="15" customHeight="1">
      <c r="A74" s="99"/>
      <c r="B74" s="166">
        <v>24992</v>
      </c>
      <c r="C74" s="99">
        <v>3113</v>
      </c>
      <c r="D74" s="99">
        <v>6121</v>
      </c>
      <c r="E74" s="99">
        <v>72</v>
      </c>
      <c r="F74" s="119" t="s">
        <v>813</v>
      </c>
      <c r="G74" s="103"/>
      <c r="H74" s="120">
        <v>0</v>
      </c>
      <c r="I74" s="120"/>
      <c r="J74" s="120"/>
      <c r="K74" s="120"/>
      <c r="L74" s="120"/>
      <c r="M74" s="120"/>
      <c r="N74" s="120">
        <v>79000</v>
      </c>
      <c r="O74" s="120"/>
      <c r="P74" s="120">
        <v>79000</v>
      </c>
      <c r="Q74" s="120">
        <v>78720</v>
      </c>
      <c r="R74" s="120">
        <f t="shared" si="10"/>
        <v>99.64556962025316</v>
      </c>
      <c r="S74" s="105" t="s">
        <v>135</v>
      </c>
      <c r="T74" s="188"/>
      <c r="U74" s="189"/>
      <c r="V74" s="188"/>
      <c r="W74" s="188"/>
      <c r="X74" s="188"/>
      <c r="Y74" s="188"/>
      <c r="Z74" s="188"/>
    </row>
    <row r="75" spans="1:26" s="175" customFormat="1" ht="15" customHeight="1">
      <c r="A75" s="165"/>
      <c r="B75" s="187">
        <v>24990</v>
      </c>
      <c r="C75" s="165">
        <v>3113</v>
      </c>
      <c r="D75" s="165">
        <v>6121</v>
      </c>
      <c r="E75" s="99">
        <v>73</v>
      </c>
      <c r="F75" s="193" t="s">
        <v>814</v>
      </c>
      <c r="G75" s="192"/>
      <c r="H75" s="292">
        <v>0</v>
      </c>
      <c r="I75" s="292"/>
      <c r="J75" s="292"/>
      <c r="K75" s="292"/>
      <c r="L75" s="292"/>
      <c r="M75" s="292"/>
      <c r="N75" s="292">
        <v>63000</v>
      </c>
      <c r="O75" s="292"/>
      <c r="P75" s="292">
        <v>63000</v>
      </c>
      <c r="Q75" s="292">
        <v>62880</v>
      </c>
      <c r="R75" s="292">
        <f t="shared" si="10"/>
        <v>99.80952380952381</v>
      </c>
      <c r="S75" s="293" t="s">
        <v>135</v>
      </c>
      <c r="T75" s="185"/>
      <c r="U75" s="186"/>
      <c r="V75" s="185"/>
      <c r="W75" s="185"/>
      <c r="X75" s="185"/>
      <c r="Y75" s="185"/>
      <c r="Z75" s="185"/>
    </row>
    <row r="76" spans="1:26" s="190" customFormat="1" ht="15" customHeight="1">
      <c r="A76" s="99"/>
      <c r="B76" s="166">
        <v>24994</v>
      </c>
      <c r="C76" s="99">
        <v>3113</v>
      </c>
      <c r="D76" s="99">
        <v>6121</v>
      </c>
      <c r="E76" s="99">
        <v>74</v>
      </c>
      <c r="F76" s="119" t="s">
        <v>815</v>
      </c>
      <c r="G76" s="103"/>
      <c r="H76" s="120">
        <v>0</v>
      </c>
      <c r="I76" s="120"/>
      <c r="J76" s="120"/>
      <c r="K76" s="120"/>
      <c r="L76" s="120"/>
      <c r="M76" s="120"/>
      <c r="N76" s="120">
        <v>79000</v>
      </c>
      <c r="O76" s="120"/>
      <c r="P76" s="120">
        <v>79000</v>
      </c>
      <c r="Q76" s="120">
        <v>78720</v>
      </c>
      <c r="R76" s="120">
        <f t="shared" si="10"/>
        <v>99.64556962025316</v>
      </c>
      <c r="S76" s="105" t="s">
        <v>135</v>
      </c>
      <c r="T76" s="188"/>
      <c r="U76" s="189"/>
      <c r="V76" s="188"/>
      <c r="W76" s="188"/>
      <c r="X76" s="188"/>
      <c r="Y76" s="188"/>
      <c r="Z76" s="188"/>
    </row>
    <row r="77" spans="1:26" s="175" customFormat="1" ht="15" customHeight="1">
      <c r="A77" s="165"/>
      <c r="B77" s="191">
        <v>24792</v>
      </c>
      <c r="C77" s="167">
        <v>3113</v>
      </c>
      <c r="D77" s="167">
        <v>6121</v>
      </c>
      <c r="E77" s="99">
        <v>75</v>
      </c>
      <c r="F77" s="168" t="s">
        <v>816</v>
      </c>
      <c r="G77" s="192"/>
      <c r="H77" s="169">
        <v>0</v>
      </c>
      <c r="I77" s="169">
        <v>120000</v>
      </c>
      <c r="J77" s="169"/>
      <c r="K77" s="169"/>
      <c r="L77" s="169"/>
      <c r="M77" s="169"/>
      <c r="N77" s="169">
        <f>H77+I77+J77+K77+L77+M77</f>
        <v>120000</v>
      </c>
      <c r="O77" s="169"/>
      <c r="P77" s="169">
        <v>78000</v>
      </c>
      <c r="Q77" s="169">
        <v>77880</v>
      </c>
      <c r="R77" s="169">
        <f t="shared" si="10"/>
        <v>99.84615384615385</v>
      </c>
      <c r="S77" s="170" t="s">
        <v>135</v>
      </c>
      <c r="T77" s="185"/>
      <c r="U77" s="186"/>
      <c r="V77" s="185"/>
      <c r="W77" s="185"/>
      <c r="X77" s="185"/>
      <c r="Y77" s="185"/>
      <c r="Z77" s="185"/>
    </row>
    <row r="78" spans="1:26" s="175" customFormat="1" ht="15" customHeight="1">
      <c r="A78" s="182"/>
      <c r="B78" s="166">
        <v>25102</v>
      </c>
      <c r="C78" s="99">
        <v>3113</v>
      </c>
      <c r="D78" s="99">
        <v>6121</v>
      </c>
      <c r="E78" s="99">
        <v>76</v>
      </c>
      <c r="F78" s="119" t="s">
        <v>817</v>
      </c>
      <c r="G78" s="180"/>
      <c r="H78" s="120">
        <v>0</v>
      </c>
      <c r="I78" s="120"/>
      <c r="J78" s="120"/>
      <c r="K78" s="120"/>
      <c r="L78" s="120"/>
      <c r="M78" s="120"/>
      <c r="N78" s="120">
        <v>600000</v>
      </c>
      <c r="O78" s="120"/>
      <c r="P78" s="120">
        <v>39500</v>
      </c>
      <c r="Q78" s="120">
        <v>39360</v>
      </c>
      <c r="R78" s="120">
        <f t="shared" si="10"/>
        <v>99.64556962025316</v>
      </c>
      <c r="S78" s="105" t="s">
        <v>135</v>
      </c>
      <c r="T78" s="185"/>
      <c r="U78" s="186"/>
      <c r="V78" s="185"/>
      <c r="W78" s="185"/>
      <c r="X78" s="185"/>
      <c r="Y78" s="185"/>
      <c r="Z78" s="185"/>
    </row>
    <row r="79" spans="1:26" s="175" customFormat="1" ht="15" customHeight="1">
      <c r="A79" s="182"/>
      <c r="B79" s="118">
        <v>24790</v>
      </c>
      <c r="C79" s="182">
        <v>3113</v>
      </c>
      <c r="D79" s="182">
        <v>6121</v>
      </c>
      <c r="E79" s="99">
        <v>77</v>
      </c>
      <c r="F79" s="183" t="s">
        <v>818</v>
      </c>
      <c r="G79" s="180"/>
      <c r="H79" s="120">
        <v>0</v>
      </c>
      <c r="I79" s="120">
        <v>92000</v>
      </c>
      <c r="J79" s="120"/>
      <c r="K79" s="120"/>
      <c r="L79" s="120"/>
      <c r="M79" s="120"/>
      <c r="N79" s="120">
        <f>H79+I79+J79+K79+L79+M79</f>
        <v>92000</v>
      </c>
      <c r="O79" s="120"/>
      <c r="P79" s="120">
        <v>142000</v>
      </c>
      <c r="Q79" s="120">
        <v>124800</v>
      </c>
      <c r="R79" s="120">
        <f t="shared" si="10"/>
        <v>87.88732394366198</v>
      </c>
      <c r="S79" s="105" t="s">
        <v>135</v>
      </c>
      <c r="T79" s="185"/>
      <c r="U79" s="186"/>
      <c r="V79" s="185"/>
      <c r="W79" s="185"/>
      <c r="X79" s="185"/>
      <c r="Y79" s="185"/>
      <c r="Z79" s="185"/>
    </row>
    <row r="80" spans="1:26" s="175" customFormat="1" ht="15" customHeight="1">
      <c r="A80" s="182"/>
      <c r="B80" s="118">
        <v>24993</v>
      </c>
      <c r="C80" s="182">
        <v>3113</v>
      </c>
      <c r="D80" s="182">
        <v>6121</v>
      </c>
      <c r="E80" s="99">
        <v>78</v>
      </c>
      <c r="F80" s="183" t="s">
        <v>819</v>
      </c>
      <c r="G80" s="180"/>
      <c r="H80" s="181">
        <v>0</v>
      </c>
      <c r="I80" s="181"/>
      <c r="J80" s="181">
        <v>16000</v>
      </c>
      <c r="K80" s="181"/>
      <c r="L80" s="181"/>
      <c r="M80" s="181"/>
      <c r="N80" s="181">
        <f>H80+I80+J80+K80+L80+M80</f>
        <v>16000</v>
      </c>
      <c r="O80" s="181"/>
      <c r="P80" s="181">
        <v>16000</v>
      </c>
      <c r="Q80" s="181">
        <v>15308</v>
      </c>
      <c r="R80" s="181">
        <f t="shared" si="10"/>
        <v>95.675</v>
      </c>
      <c r="S80" s="184" t="s">
        <v>135</v>
      </c>
      <c r="T80" s="185"/>
      <c r="U80" s="186"/>
      <c r="V80" s="185"/>
      <c r="W80" s="185"/>
      <c r="X80" s="185"/>
      <c r="Y80" s="185"/>
      <c r="Z80" s="185"/>
    </row>
    <row r="81" spans="1:26" s="190" customFormat="1" ht="15" customHeight="1">
      <c r="A81" s="99"/>
      <c r="B81" s="166">
        <v>25101</v>
      </c>
      <c r="C81" s="99">
        <v>3421</v>
      </c>
      <c r="D81" s="99">
        <v>6121</v>
      </c>
      <c r="E81" s="99">
        <v>79</v>
      </c>
      <c r="F81" s="119" t="s">
        <v>820</v>
      </c>
      <c r="G81" s="103"/>
      <c r="H81" s="120">
        <v>0</v>
      </c>
      <c r="I81" s="120"/>
      <c r="J81" s="120"/>
      <c r="K81" s="120"/>
      <c r="L81" s="120"/>
      <c r="M81" s="120"/>
      <c r="N81" s="120"/>
      <c r="O81" s="120"/>
      <c r="P81" s="120">
        <v>172500</v>
      </c>
      <c r="Q81" s="120">
        <v>172800</v>
      </c>
      <c r="R81" s="120">
        <f t="shared" si="10"/>
        <v>100.17391304347827</v>
      </c>
      <c r="S81" s="105" t="s">
        <v>135</v>
      </c>
      <c r="T81" s="188"/>
      <c r="U81" s="189"/>
      <c r="V81" s="188"/>
      <c r="W81" s="188"/>
      <c r="X81" s="188"/>
      <c r="Y81" s="188"/>
      <c r="Z81" s="188"/>
    </row>
    <row r="82" spans="1:26" ht="15" customHeight="1" thickBot="1">
      <c r="A82" s="165">
        <v>5046</v>
      </c>
      <c r="B82" s="187">
        <f>A82+20000</f>
        <v>25046</v>
      </c>
      <c r="C82" s="165">
        <v>3141</v>
      </c>
      <c r="D82" s="165">
        <v>6121</v>
      </c>
      <c r="E82" s="99">
        <v>80</v>
      </c>
      <c r="F82" s="193" t="s">
        <v>466</v>
      </c>
      <c r="G82" s="192">
        <v>0.2</v>
      </c>
      <c r="H82" s="169">
        <f>G82*1000000</f>
        <v>200000</v>
      </c>
      <c r="I82" s="169"/>
      <c r="J82" s="169">
        <v>-112000</v>
      </c>
      <c r="K82" s="169"/>
      <c r="L82" s="169"/>
      <c r="M82" s="169"/>
      <c r="N82" s="169">
        <f>H82+I82+J82+K82+L82+M82</f>
        <v>88000</v>
      </c>
      <c r="O82" s="169"/>
      <c r="P82" s="169">
        <v>106500</v>
      </c>
      <c r="Q82" s="169">
        <v>106390</v>
      </c>
      <c r="R82" s="235">
        <f>Q82/P82*100</f>
        <v>99.89671361502347</v>
      </c>
      <c r="S82" s="170" t="s">
        <v>135</v>
      </c>
      <c r="U82" s="93"/>
      <c r="V82" s="93"/>
      <c r="W82" s="93"/>
      <c r="X82" s="93"/>
      <c r="Y82" s="93"/>
      <c r="Z82" s="93"/>
    </row>
    <row r="83" spans="1:26" s="199" customFormat="1" ht="15" customHeight="1" thickBot="1">
      <c r="A83" s="194"/>
      <c r="B83" s="195"/>
      <c r="C83" s="195"/>
      <c r="D83" s="195"/>
      <c r="E83" s="195"/>
      <c r="F83" s="144" t="s">
        <v>979</v>
      </c>
      <c r="G83" s="196"/>
      <c r="H83" s="146">
        <f>SUM(G3:G82)*1000000</f>
        <v>16329999.999999994</v>
      </c>
      <c r="I83" s="146">
        <f>SUM(I2:I82)</f>
        <v>962000</v>
      </c>
      <c r="J83" s="146">
        <f>SUM(J2:J82)</f>
        <v>-774000</v>
      </c>
      <c r="K83" s="146">
        <f>SUM(K2:K82)</f>
        <v>79000</v>
      </c>
      <c r="L83" s="146">
        <f>SUM(L2:L82)</f>
        <v>0</v>
      </c>
      <c r="M83" s="146">
        <f>SUM(M2:M82)</f>
        <v>420000</v>
      </c>
      <c r="N83" s="146">
        <f>SUM(N3:N82)</f>
        <v>15821300</v>
      </c>
      <c r="O83" s="146">
        <f>SUM(O3:O82)</f>
        <v>-638000</v>
      </c>
      <c r="P83" s="146">
        <f>SUM(P3:P82)</f>
        <v>11795344</v>
      </c>
      <c r="Q83" s="146">
        <f>SUM(Q3:Q82)</f>
        <v>11576452.5</v>
      </c>
      <c r="R83" s="146">
        <f>Q83/N83*100</f>
        <v>73.17004607712387</v>
      </c>
      <c r="S83" s="147"/>
      <c r="T83" s="197"/>
      <c r="U83" s="198"/>
      <c r="V83" s="197"/>
      <c r="W83" s="197"/>
      <c r="X83" s="197"/>
      <c r="Y83" s="197"/>
      <c r="Z83" s="197"/>
    </row>
    <row r="84" spans="1:19" s="92" customFormat="1" ht="15" customHeight="1">
      <c r="A84" s="150"/>
      <c r="B84" s="150"/>
      <c r="C84" s="150"/>
      <c r="D84" s="150"/>
      <c r="E84" s="150"/>
      <c r="F84" s="151"/>
      <c r="G84" s="200"/>
      <c r="H84" s="200"/>
      <c r="I84" s="200"/>
      <c r="J84" s="200"/>
      <c r="K84" s="200"/>
      <c r="L84" s="200"/>
      <c r="M84" s="200"/>
      <c r="N84" s="200"/>
      <c r="O84" s="200"/>
      <c r="P84" s="200"/>
      <c r="Q84" s="200"/>
      <c r="R84" s="200"/>
      <c r="S84" s="90"/>
    </row>
    <row r="85" spans="1:24" s="92" customFormat="1" ht="15" customHeight="1">
      <c r="A85" s="201"/>
      <c r="B85" s="201"/>
      <c r="C85" s="201"/>
      <c r="D85" s="201"/>
      <c r="E85" s="201"/>
      <c r="S85" s="91"/>
      <c r="U85" s="93"/>
      <c r="V85" s="93"/>
      <c r="W85" s="93"/>
      <c r="X85" s="93"/>
    </row>
  </sheetData>
  <printOptions/>
  <pageMargins left="0.3937007874015748" right="0.3937007874015748" top="0.98" bottom="0.78" header="0.6" footer="0.28"/>
  <pageSetup firstPageNumber="4" useFirstPageNumber="1" horizontalDpi="300" verticalDpi="300" orientation="landscape" paperSize="9" scale="85" r:id="rId4"/>
  <headerFooter alignWithMargins="0">
    <oddHeader>&amp;Lv Kč&amp;C&amp;"Arial,Tučné"Schválený rozpočet investičních akcí na rok 2010 - individuální příslib</oddHeader>
    <oddFooter>&amp;C&amp;8&amp;P</oddFooter>
  </headerFooter>
  <rowBreaks count="1" manualBreakCount="1">
    <brk id="35" max="18" man="1"/>
  </rowBreaks>
  <drawing r:id="rId3"/>
  <legacyDrawing r:id="rId2"/>
</worksheet>
</file>

<file path=xl/worksheets/sheet26.xml><?xml version="1.0" encoding="utf-8"?>
<worksheet xmlns="http://schemas.openxmlformats.org/spreadsheetml/2006/main" xmlns:r="http://schemas.openxmlformats.org/officeDocument/2006/relationships">
  <sheetPr>
    <tabColor indexed="42"/>
  </sheetPr>
  <dimension ref="A1:AA89"/>
  <sheetViews>
    <sheetView zoomScaleSheetLayoutView="100" workbookViewId="0" topLeftCell="A1">
      <pane xSplit="6" ySplit="1" topLeftCell="G55" activePane="bottomRight" state="frozen"/>
      <selection pane="topLeft" activeCell="A1" sqref="A1"/>
      <selection pane="topRight" activeCell="C1" sqref="C1"/>
      <selection pane="bottomLeft" activeCell="A3" sqref="A3"/>
      <selection pane="bottomRight" activeCell="R36" sqref="R36"/>
    </sheetView>
  </sheetViews>
  <sheetFormatPr defaultColWidth="9.140625" defaultRowHeight="12.75"/>
  <cols>
    <col min="1" max="1" width="7.7109375" style="153" hidden="1" customWidth="1"/>
    <col min="2" max="2" width="6.28125" style="153" customWidth="1"/>
    <col min="3" max="3" width="6.140625" style="153" customWidth="1"/>
    <col min="4" max="4" width="5.8515625" style="153" customWidth="1"/>
    <col min="5" max="5" width="5.00390625" style="153" customWidth="1"/>
    <col min="6" max="6" width="58.28125" style="154" customWidth="1"/>
    <col min="7" max="7" width="4.28125" style="156" hidden="1" customWidth="1"/>
    <col min="8" max="8" width="13.00390625" style="156" customWidth="1"/>
    <col min="9" max="9" width="14.7109375" style="156" hidden="1" customWidth="1"/>
    <col min="10" max="10" width="13.57421875" style="156" hidden="1" customWidth="1"/>
    <col min="11" max="11" width="13.00390625" style="156" hidden="1" customWidth="1"/>
    <col min="12" max="12" width="12.00390625" style="156" hidden="1" customWidth="1"/>
    <col min="13" max="13" width="12.140625" style="156" hidden="1" customWidth="1"/>
    <col min="14" max="14" width="12.421875" style="156" hidden="1" customWidth="1"/>
    <col min="15" max="16" width="14.7109375" style="156" hidden="1" customWidth="1"/>
    <col min="17" max="18" width="13.421875" style="156" customWidth="1"/>
    <col min="19" max="19" width="7.7109375" style="156" customWidth="1"/>
    <col min="20" max="20" width="43.28125" style="91" customWidth="1"/>
    <col min="21" max="21" width="22.140625" style="92" customWidth="1"/>
    <col min="22" max="22" width="15.00390625" style="0" customWidth="1"/>
    <col min="23" max="23" width="8.7109375" style="0" customWidth="1"/>
  </cols>
  <sheetData>
    <row r="1" spans="1:20" s="85" customFormat="1" ht="42.75" customHeight="1" thickBot="1">
      <c r="A1" s="82" t="s">
        <v>129</v>
      </c>
      <c r="B1" s="82" t="s">
        <v>129</v>
      </c>
      <c r="C1" s="82" t="s">
        <v>926</v>
      </c>
      <c r="D1" s="82" t="s">
        <v>927</v>
      </c>
      <c r="E1" s="82"/>
      <c r="F1" s="82" t="s">
        <v>928</v>
      </c>
      <c r="G1" s="83" t="s">
        <v>929</v>
      </c>
      <c r="H1" s="83" t="s">
        <v>467</v>
      </c>
      <c r="I1" s="84" t="s">
        <v>468</v>
      </c>
      <c r="J1" s="84" t="s">
        <v>915</v>
      </c>
      <c r="K1" s="84" t="s">
        <v>916</v>
      </c>
      <c r="L1" s="84" t="s">
        <v>917</v>
      </c>
      <c r="M1" s="84" t="s">
        <v>918</v>
      </c>
      <c r="N1" s="84" t="s">
        <v>919</v>
      </c>
      <c r="O1" s="83" t="s">
        <v>985</v>
      </c>
      <c r="P1" s="83" t="s">
        <v>274</v>
      </c>
      <c r="Q1" s="83" t="s">
        <v>730</v>
      </c>
      <c r="R1" s="83" t="s">
        <v>731</v>
      </c>
      <c r="S1" s="83" t="s">
        <v>425</v>
      </c>
      <c r="T1" s="82" t="s">
        <v>180</v>
      </c>
    </row>
    <row r="2" spans="1:25" s="92" customFormat="1" ht="26.25" customHeight="1">
      <c r="A2" s="86" t="s">
        <v>920</v>
      </c>
      <c r="B2" s="86" t="s">
        <v>920</v>
      </c>
      <c r="C2" s="87"/>
      <c r="D2" s="87"/>
      <c r="E2" s="87"/>
      <c r="F2" s="88"/>
      <c r="G2" s="90"/>
      <c r="H2" s="90"/>
      <c r="I2" s="90"/>
      <c r="J2" s="90"/>
      <c r="K2" s="90"/>
      <c r="L2" s="90"/>
      <c r="M2" s="90"/>
      <c r="N2" s="90"/>
      <c r="O2" s="90"/>
      <c r="P2" s="90"/>
      <c r="Q2" s="90"/>
      <c r="R2" s="90"/>
      <c r="S2" s="90"/>
      <c r="T2" s="91"/>
      <c r="V2" s="93"/>
      <c r="W2" s="93"/>
      <c r="X2" s="93"/>
      <c r="Y2" s="93"/>
    </row>
    <row r="3" spans="1:20" s="205" customFormat="1" ht="15.75" customHeight="1">
      <c r="A3" s="202"/>
      <c r="B3" s="99">
        <v>4334</v>
      </c>
      <c r="C3" s="99">
        <v>2212</v>
      </c>
      <c r="D3" s="99">
        <v>6202</v>
      </c>
      <c r="E3" s="99">
        <v>1</v>
      </c>
      <c r="F3" s="162" t="s">
        <v>921</v>
      </c>
      <c r="G3" s="103"/>
      <c r="H3" s="103">
        <v>0</v>
      </c>
      <c r="I3" s="103"/>
      <c r="J3" s="103"/>
      <c r="K3" s="103"/>
      <c r="L3" s="103"/>
      <c r="M3" s="103"/>
      <c r="N3" s="103"/>
      <c r="O3" s="133">
        <v>4950000</v>
      </c>
      <c r="P3" s="103"/>
      <c r="Q3" s="203">
        <v>8100000</v>
      </c>
      <c r="R3" s="133">
        <v>8100000</v>
      </c>
      <c r="S3" s="204">
        <f aca="true" t="shared" si="0" ref="S3:S12">R3/Q3*100</f>
        <v>100</v>
      </c>
      <c r="T3" s="105" t="s">
        <v>53</v>
      </c>
    </row>
    <row r="4" spans="1:20" s="205" customFormat="1" ht="15.75" customHeight="1">
      <c r="A4" s="202"/>
      <c r="B4" s="99">
        <v>34891</v>
      </c>
      <c r="C4" s="99">
        <v>2212</v>
      </c>
      <c r="D4" s="99">
        <v>6130</v>
      </c>
      <c r="E4" s="99">
        <v>2</v>
      </c>
      <c r="F4" s="162" t="s">
        <v>434</v>
      </c>
      <c r="G4" s="103"/>
      <c r="H4" s="103">
        <v>0</v>
      </c>
      <c r="I4" s="103"/>
      <c r="J4" s="103"/>
      <c r="K4" s="103"/>
      <c r="L4" s="103"/>
      <c r="M4" s="103"/>
      <c r="N4" s="103"/>
      <c r="O4" s="133">
        <v>0</v>
      </c>
      <c r="P4" s="103">
        <v>38000</v>
      </c>
      <c r="Q4" s="203">
        <v>38000</v>
      </c>
      <c r="R4" s="133">
        <v>37720</v>
      </c>
      <c r="S4" s="204">
        <f t="shared" si="0"/>
        <v>99.26315789473684</v>
      </c>
      <c r="T4" s="105" t="s">
        <v>135</v>
      </c>
    </row>
    <row r="5" spans="1:20" s="205" customFormat="1" ht="15.75" customHeight="1">
      <c r="A5" s="202"/>
      <c r="B5" s="161">
        <v>34686</v>
      </c>
      <c r="C5" s="99">
        <v>2212</v>
      </c>
      <c r="D5" s="99">
        <v>6130</v>
      </c>
      <c r="E5" s="99">
        <v>3</v>
      </c>
      <c r="F5" s="162" t="s">
        <v>435</v>
      </c>
      <c r="G5" s="103"/>
      <c r="H5" s="103">
        <v>0</v>
      </c>
      <c r="I5" s="133">
        <v>29000</v>
      </c>
      <c r="J5" s="103"/>
      <c r="K5" s="103"/>
      <c r="L5" s="133"/>
      <c r="M5" s="133"/>
      <c r="N5" s="133"/>
      <c r="O5" s="203">
        <f>I5</f>
        <v>29000</v>
      </c>
      <c r="P5" s="203"/>
      <c r="Q5" s="203">
        <v>29000</v>
      </c>
      <c r="R5" s="133">
        <v>28620</v>
      </c>
      <c r="S5" s="204">
        <f t="shared" si="0"/>
        <v>98.6896551724138</v>
      </c>
      <c r="T5" s="105" t="s">
        <v>135</v>
      </c>
    </row>
    <row r="6" spans="1:20" s="163" customFormat="1" ht="15" customHeight="1">
      <c r="A6" s="99">
        <v>5080</v>
      </c>
      <c r="B6" s="99">
        <v>35080</v>
      </c>
      <c r="C6" s="106">
        <v>3113</v>
      </c>
      <c r="D6" s="106">
        <v>6122</v>
      </c>
      <c r="E6" s="99">
        <v>4</v>
      </c>
      <c r="F6" s="105" t="s">
        <v>436</v>
      </c>
      <c r="G6" s="204">
        <v>2.5</v>
      </c>
      <c r="H6" s="204">
        <v>2500000</v>
      </c>
      <c r="I6" s="204"/>
      <c r="J6" s="204"/>
      <c r="K6" s="204"/>
      <c r="L6" s="204"/>
      <c r="M6" s="204"/>
      <c r="N6" s="204"/>
      <c r="O6" s="204">
        <f>L6+H6</f>
        <v>2500000</v>
      </c>
      <c r="P6" s="204"/>
      <c r="Q6" s="203">
        <f>2383200-971176-171384</f>
        <v>1240640</v>
      </c>
      <c r="R6" s="204">
        <v>0</v>
      </c>
      <c r="S6" s="204">
        <f t="shared" si="0"/>
        <v>0</v>
      </c>
      <c r="T6" s="206" t="s">
        <v>437</v>
      </c>
    </row>
    <row r="7" spans="1:20" s="163" customFormat="1" ht="15" customHeight="1">
      <c r="A7" s="99"/>
      <c r="B7" s="99">
        <v>35080</v>
      </c>
      <c r="C7" s="106">
        <v>3113</v>
      </c>
      <c r="D7" s="106">
        <v>6122</v>
      </c>
      <c r="E7" s="99">
        <v>5</v>
      </c>
      <c r="F7" s="119" t="s">
        <v>438</v>
      </c>
      <c r="G7" s="204"/>
      <c r="H7" s="204">
        <v>0</v>
      </c>
      <c r="I7" s="204"/>
      <c r="J7" s="204"/>
      <c r="K7" s="204"/>
      <c r="L7" s="204"/>
      <c r="M7" s="204">
        <v>119640</v>
      </c>
      <c r="N7" s="204"/>
      <c r="O7" s="204">
        <f>M7</f>
        <v>119640</v>
      </c>
      <c r="P7" s="204"/>
      <c r="Q7" s="203">
        <v>79605.6</v>
      </c>
      <c r="R7" s="204">
        <v>79605.6</v>
      </c>
      <c r="S7" s="204">
        <f t="shared" si="0"/>
        <v>100</v>
      </c>
      <c r="T7" s="119" t="s">
        <v>940</v>
      </c>
    </row>
    <row r="8" spans="1:20" s="163" customFormat="1" ht="15" customHeight="1">
      <c r="A8" s="99"/>
      <c r="B8" s="99">
        <v>35080</v>
      </c>
      <c r="C8" s="106">
        <v>3113</v>
      </c>
      <c r="D8" s="106">
        <v>6122</v>
      </c>
      <c r="E8" s="99">
        <v>6</v>
      </c>
      <c r="F8" s="119" t="s">
        <v>438</v>
      </c>
      <c r="G8" s="204"/>
      <c r="H8" s="204">
        <v>0</v>
      </c>
      <c r="I8" s="204"/>
      <c r="J8" s="204"/>
      <c r="K8" s="204"/>
      <c r="L8" s="204"/>
      <c r="M8" s="204">
        <v>677960</v>
      </c>
      <c r="N8" s="204"/>
      <c r="O8" s="204">
        <f>M8</f>
        <v>677960</v>
      </c>
      <c r="P8" s="204"/>
      <c r="Q8" s="203">
        <v>451098.4</v>
      </c>
      <c r="R8" s="204">
        <v>451098.4</v>
      </c>
      <c r="S8" s="204">
        <f t="shared" si="0"/>
        <v>100</v>
      </c>
      <c r="T8" s="119" t="s">
        <v>941</v>
      </c>
    </row>
    <row r="9" spans="1:20" s="163" customFormat="1" ht="15" customHeight="1">
      <c r="A9" s="99"/>
      <c r="B9" s="99">
        <v>35143</v>
      </c>
      <c r="C9" s="106">
        <v>3539</v>
      </c>
      <c r="D9" s="106">
        <v>6122</v>
      </c>
      <c r="E9" s="99">
        <v>7</v>
      </c>
      <c r="F9" s="119" t="s">
        <v>267</v>
      </c>
      <c r="G9" s="204"/>
      <c r="H9" s="204">
        <v>0</v>
      </c>
      <c r="I9" s="204"/>
      <c r="J9" s="204"/>
      <c r="K9" s="204"/>
      <c r="L9" s="204"/>
      <c r="M9" s="204"/>
      <c r="N9" s="204"/>
      <c r="O9" s="204"/>
      <c r="P9" s="204"/>
      <c r="Q9" s="203">
        <v>66000</v>
      </c>
      <c r="R9" s="204">
        <v>66000</v>
      </c>
      <c r="S9" s="204">
        <f t="shared" si="0"/>
        <v>100</v>
      </c>
      <c r="T9" s="119" t="s">
        <v>22</v>
      </c>
    </row>
    <row r="10" spans="1:20" s="163" customFormat="1" ht="15" customHeight="1">
      <c r="A10" s="99"/>
      <c r="B10" s="99">
        <v>35144</v>
      </c>
      <c r="C10" s="106">
        <v>3421</v>
      </c>
      <c r="D10" s="106">
        <v>6122</v>
      </c>
      <c r="E10" s="99">
        <v>8</v>
      </c>
      <c r="F10" s="119" t="s">
        <v>268</v>
      </c>
      <c r="G10" s="204"/>
      <c r="H10" s="204">
        <v>0</v>
      </c>
      <c r="I10" s="204"/>
      <c r="J10" s="204"/>
      <c r="K10" s="204"/>
      <c r="L10" s="204"/>
      <c r="M10" s="204"/>
      <c r="N10" s="204"/>
      <c r="O10" s="204"/>
      <c r="P10" s="204"/>
      <c r="Q10" s="203">
        <v>318468</v>
      </c>
      <c r="R10" s="204">
        <v>318468</v>
      </c>
      <c r="S10" s="204">
        <f t="shared" si="0"/>
        <v>100</v>
      </c>
      <c r="T10" s="119" t="s">
        <v>823</v>
      </c>
    </row>
    <row r="11" spans="1:20" s="163" customFormat="1" ht="15" customHeight="1">
      <c r="A11" s="99"/>
      <c r="B11" s="99">
        <v>34936</v>
      </c>
      <c r="C11" s="106">
        <v>3632</v>
      </c>
      <c r="D11" s="106">
        <v>6130</v>
      </c>
      <c r="E11" s="99">
        <v>9</v>
      </c>
      <c r="F11" s="105" t="s">
        <v>871</v>
      </c>
      <c r="G11" s="204"/>
      <c r="H11" s="204">
        <v>0</v>
      </c>
      <c r="I11" s="204"/>
      <c r="J11" s="204"/>
      <c r="K11" s="204"/>
      <c r="L11" s="204"/>
      <c r="M11" s="204"/>
      <c r="N11" s="204"/>
      <c r="O11" s="204">
        <v>53000</v>
      </c>
      <c r="P11" s="204"/>
      <c r="Q11" s="203">
        <v>53000</v>
      </c>
      <c r="R11" s="204">
        <v>53030</v>
      </c>
      <c r="S11" s="204">
        <f t="shared" si="0"/>
        <v>100.0566037735849</v>
      </c>
      <c r="T11" s="206" t="s">
        <v>135</v>
      </c>
    </row>
    <row r="12" spans="1:20" s="163" customFormat="1" ht="15" customHeight="1">
      <c r="A12" s="99"/>
      <c r="B12" s="99">
        <v>35110</v>
      </c>
      <c r="C12" s="106">
        <v>6409</v>
      </c>
      <c r="D12" s="106">
        <v>6121</v>
      </c>
      <c r="E12" s="99">
        <v>10</v>
      </c>
      <c r="F12" s="105" t="s">
        <v>439</v>
      </c>
      <c r="G12" s="204"/>
      <c r="H12" s="204">
        <v>0</v>
      </c>
      <c r="I12" s="204"/>
      <c r="J12" s="204"/>
      <c r="K12" s="204"/>
      <c r="L12" s="204"/>
      <c r="M12" s="204"/>
      <c r="N12" s="204"/>
      <c r="O12" s="204">
        <v>0</v>
      </c>
      <c r="P12" s="204">
        <v>80000</v>
      </c>
      <c r="Q12" s="203">
        <f>80000-1080</f>
        <v>78920</v>
      </c>
      <c r="R12" s="204">
        <v>78919.2</v>
      </c>
      <c r="S12" s="204">
        <f t="shared" si="0"/>
        <v>99.99898631525596</v>
      </c>
      <c r="T12" s="119" t="s">
        <v>53</v>
      </c>
    </row>
    <row r="13" spans="1:20" s="163" customFormat="1" ht="15" customHeight="1">
      <c r="A13" s="99">
        <v>4943</v>
      </c>
      <c r="B13" s="99">
        <v>34943</v>
      </c>
      <c r="C13" s="106">
        <v>6171</v>
      </c>
      <c r="D13" s="106">
        <v>6121</v>
      </c>
      <c r="E13" s="99">
        <v>11</v>
      </c>
      <c r="F13" s="119" t="s">
        <v>440</v>
      </c>
      <c r="G13" s="204">
        <v>0.16</v>
      </c>
      <c r="H13" s="204">
        <v>160000</v>
      </c>
      <c r="I13" s="204"/>
      <c r="J13" s="204"/>
      <c r="K13" s="204"/>
      <c r="L13" s="204"/>
      <c r="M13" s="204"/>
      <c r="N13" s="204"/>
      <c r="O13" s="204">
        <v>0</v>
      </c>
      <c r="P13" s="204"/>
      <c r="Q13" s="203">
        <v>0</v>
      </c>
      <c r="R13" s="204">
        <v>0</v>
      </c>
      <c r="S13" s="204">
        <v>0</v>
      </c>
      <c r="T13" s="119" t="s">
        <v>53</v>
      </c>
    </row>
    <row r="14" spans="1:20" s="163" customFormat="1" ht="15" customHeight="1">
      <c r="A14" s="99"/>
      <c r="B14" s="99">
        <v>14943</v>
      </c>
      <c r="C14" s="106">
        <v>6171</v>
      </c>
      <c r="D14" s="106">
        <v>6122</v>
      </c>
      <c r="E14" s="99">
        <v>12</v>
      </c>
      <c r="F14" s="119" t="s">
        <v>440</v>
      </c>
      <c r="G14" s="204"/>
      <c r="H14" s="204">
        <v>0</v>
      </c>
      <c r="I14" s="204"/>
      <c r="J14" s="204"/>
      <c r="K14" s="204"/>
      <c r="L14" s="204"/>
      <c r="M14" s="204"/>
      <c r="N14" s="204"/>
      <c r="O14" s="204">
        <v>350000</v>
      </c>
      <c r="P14" s="204"/>
      <c r="Q14" s="203">
        <v>350000</v>
      </c>
      <c r="R14" s="204">
        <v>349088.32</v>
      </c>
      <c r="S14" s="204">
        <f aca="true" t="shared" si="1" ref="S14:S27">R14/Q14*100</f>
        <v>99.73952</v>
      </c>
      <c r="T14" s="119" t="s">
        <v>135</v>
      </c>
    </row>
    <row r="15" spans="1:20" s="163" customFormat="1" ht="15" customHeight="1">
      <c r="A15" s="99"/>
      <c r="B15" s="99">
        <v>34732</v>
      </c>
      <c r="C15" s="106">
        <v>3635</v>
      </c>
      <c r="D15" s="106">
        <v>6130</v>
      </c>
      <c r="E15" s="99">
        <v>13</v>
      </c>
      <c r="F15" s="119" t="s">
        <v>441</v>
      </c>
      <c r="G15" s="204"/>
      <c r="H15" s="204">
        <v>0</v>
      </c>
      <c r="I15" s="204"/>
      <c r="J15" s="204"/>
      <c r="K15" s="204"/>
      <c r="L15" s="204"/>
      <c r="M15" s="204"/>
      <c r="N15" s="204"/>
      <c r="O15" s="204">
        <v>28000</v>
      </c>
      <c r="P15" s="204"/>
      <c r="Q15" s="203">
        <v>28000</v>
      </c>
      <c r="R15" s="204">
        <v>27500</v>
      </c>
      <c r="S15" s="204">
        <f t="shared" si="1"/>
        <v>98.21428571428571</v>
      </c>
      <c r="T15" s="119" t="s">
        <v>135</v>
      </c>
    </row>
    <row r="16" spans="1:27" s="164" customFormat="1" ht="15" customHeight="1">
      <c r="A16" s="106">
        <v>4929</v>
      </c>
      <c r="B16" s="106">
        <v>34929</v>
      </c>
      <c r="C16" s="106">
        <v>2143</v>
      </c>
      <c r="D16" s="106">
        <v>6122</v>
      </c>
      <c r="E16" s="99">
        <v>14</v>
      </c>
      <c r="F16" s="105" t="s">
        <v>442</v>
      </c>
      <c r="G16" s="112">
        <v>1.3</v>
      </c>
      <c r="H16" s="104">
        <f>G16*1000000+100000</f>
        <v>1400000</v>
      </c>
      <c r="I16" s="104"/>
      <c r="J16" s="104"/>
      <c r="K16" s="104"/>
      <c r="L16" s="104"/>
      <c r="M16" s="104"/>
      <c r="N16" s="104"/>
      <c r="O16" s="204">
        <f>H16+I16+J16+K16+L16+N16</f>
        <v>1400000</v>
      </c>
      <c r="P16" s="204">
        <v>-886500</v>
      </c>
      <c r="Q16" s="203">
        <v>513500</v>
      </c>
      <c r="R16" s="104">
        <v>319200</v>
      </c>
      <c r="S16" s="204">
        <f t="shared" si="1"/>
        <v>62.16163583252191</v>
      </c>
      <c r="T16" s="119" t="s">
        <v>53</v>
      </c>
      <c r="U16" s="163"/>
      <c r="W16" s="163"/>
      <c r="X16" s="163"/>
      <c r="Y16" s="163"/>
      <c r="Z16" s="163"/>
      <c r="AA16" s="163"/>
    </row>
    <row r="17" spans="1:27" s="164" customFormat="1" ht="15" customHeight="1">
      <c r="A17" s="106"/>
      <c r="B17" s="106">
        <v>30953</v>
      </c>
      <c r="C17" s="106">
        <v>3419</v>
      </c>
      <c r="D17" s="106">
        <v>6202</v>
      </c>
      <c r="E17" s="99">
        <v>15</v>
      </c>
      <c r="F17" s="105" t="s">
        <v>93</v>
      </c>
      <c r="G17" s="112"/>
      <c r="H17" s="104">
        <v>0</v>
      </c>
      <c r="I17" s="104"/>
      <c r="J17" s="104"/>
      <c r="K17" s="104"/>
      <c r="L17" s="104"/>
      <c r="M17" s="104"/>
      <c r="N17" s="104"/>
      <c r="O17" s="204"/>
      <c r="P17" s="204"/>
      <c r="Q17" s="203">
        <v>7000000</v>
      </c>
      <c r="R17" s="104">
        <v>7000000</v>
      </c>
      <c r="S17" s="204">
        <f t="shared" si="1"/>
        <v>100</v>
      </c>
      <c r="T17" s="119" t="s">
        <v>53</v>
      </c>
      <c r="U17" s="163"/>
      <c r="W17" s="163"/>
      <c r="X17" s="163"/>
      <c r="Y17" s="163"/>
      <c r="Z17" s="163"/>
      <c r="AA17" s="163"/>
    </row>
    <row r="18" spans="1:27" s="164" customFormat="1" ht="15" customHeight="1">
      <c r="A18" s="106"/>
      <c r="B18" s="106">
        <v>35008</v>
      </c>
      <c r="C18" s="106">
        <v>5311</v>
      </c>
      <c r="D18" s="106">
        <v>6122</v>
      </c>
      <c r="E18" s="99">
        <v>16</v>
      </c>
      <c r="F18" s="105" t="s">
        <v>443</v>
      </c>
      <c r="G18" s="112"/>
      <c r="H18" s="104">
        <v>0</v>
      </c>
      <c r="I18" s="104"/>
      <c r="J18" s="104">
        <v>483000</v>
      </c>
      <c r="K18" s="104"/>
      <c r="L18" s="104"/>
      <c r="M18" s="104"/>
      <c r="N18" s="104"/>
      <c r="O18" s="204">
        <f>H18+I18+J18+K18+L18+N18</f>
        <v>483000</v>
      </c>
      <c r="P18" s="204"/>
      <c r="Q18" s="203">
        <v>483000</v>
      </c>
      <c r="R18" s="104">
        <v>481289</v>
      </c>
      <c r="S18" s="204">
        <f t="shared" si="1"/>
        <v>99.64575569358178</v>
      </c>
      <c r="T18" s="119" t="s">
        <v>36</v>
      </c>
      <c r="U18" s="163"/>
      <c r="W18" s="163"/>
      <c r="X18" s="163"/>
      <c r="Y18" s="163"/>
      <c r="Z18" s="163"/>
      <c r="AA18" s="163"/>
    </row>
    <row r="19" spans="1:27" s="164" customFormat="1" ht="15" customHeight="1">
      <c r="A19" s="106"/>
      <c r="B19" s="106">
        <v>35089</v>
      </c>
      <c r="C19" s="106">
        <v>5311</v>
      </c>
      <c r="D19" s="106">
        <v>6122</v>
      </c>
      <c r="E19" s="99">
        <v>17</v>
      </c>
      <c r="F19" s="105" t="s">
        <v>444</v>
      </c>
      <c r="G19" s="112"/>
      <c r="H19" s="104">
        <v>0</v>
      </c>
      <c r="I19" s="104"/>
      <c r="J19" s="104"/>
      <c r="K19" s="104"/>
      <c r="L19" s="104"/>
      <c r="M19" s="104"/>
      <c r="N19" s="104"/>
      <c r="O19" s="204">
        <v>0</v>
      </c>
      <c r="P19" s="204">
        <v>134671</v>
      </c>
      <c r="Q19" s="203">
        <v>134671</v>
      </c>
      <c r="R19" s="104">
        <v>134671</v>
      </c>
      <c r="S19" s="204">
        <f t="shared" si="1"/>
        <v>100</v>
      </c>
      <c r="T19" s="119" t="s">
        <v>36</v>
      </c>
      <c r="U19" s="163"/>
      <c r="W19" s="163"/>
      <c r="X19" s="163"/>
      <c r="Y19" s="163"/>
      <c r="Z19" s="163"/>
      <c r="AA19" s="163"/>
    </row>
    <row r="20" spans="1:27" s="164" customFormat="1" ht="15" customHeight="1">
      <c r="A20" s="106"/>
      <c r="B20" s="106">
        <v>35034</v>
      </c>
      <c r="C20" s="106">
        <v>5311</v>
      </c>
      <c r="D20" s="106">
        <v>6122</v>
      </c>
      <c r="E20" s="99">
        <v>18</v>
      </c>
      <c r="F20" s="105" t="s">
        <v>92</v>
      </c>
      <c r="G20" s="112"/>
      <c r="H20" s="104">
        <v>0</v>
      </c>
      <c r="I20" s="104"/>
      <c r="J20" s="104"/>
      <c r="K20" s="104"/>
      <c r="L20" s="104"/>
      <c r="M20" s="104"/>
      <c r="N20" s="104"/>
      <c r="O20" s="204"/>
      <c r="P20" s="204"/>
      <c r="Q20" s="203">
        <v>152216.47</v>
      </c>
      <c r="R20" s="104">
        <v>152216.47</v>
      </c>
      <c r="S20" s="204">
        <f t="shared" si="1"/>
        <v>100</v>
      </c>
      <c r="T20" s="119" t="s">
        <v>36</v>
      </c>
      <c r="U20" s="163"/>
      <c r="W20" s="163"/>
      <c r="X20" s="163"/>
      <c r="Y20" s="163"/>
      <c r="Z20" s="163"/>
      <c r="AA20" s="163"/>
    </row>
    <row r="21" spans="1:27" s="164" customFormat="1" ht="15" customHeight="1">
      <c r="A21" s="106"/>
      <c r="B21" s="106">
        <v>35060</v>
      </c>
      <c r="C21" s="106">
        <v>1039</v>
      </c>
      <c r="D21" s="106">
        <v>6119</v>
      </c>
      <c r="E21" s="99">
        <v>19</v>
      </c>
      <c r="F21" s="105" t="s">
        <v>445</v>
      </c>
      <c r="G21" s="112"/>
      <c r="H21" s="104">
        <v>0</v>
      </c>
      <c r="I21" s="104"/>
      <c r="J21" s="104"/>
      <c r="K21" s="104"/>
      <c r="L21" s="104"/>
      <c r="M21" s="104"/>
      <c r="N21" s="104"/>
      <c r="O21" s="204"/>
      <c r="P21" s="204"/>
      <c r="Q21" s="203">
        <v>221399</v>
      </c>
      <c r="R21" s="104">
        <v>221399</v>
      </c>
      <c r="S21" s="204">
        <f t="shared" si="1"/>
        <v>100</v>
      </c>
      <c r="T21" s="119" t="s">
        <v>942</v>
      </c>
      <c r="U21" s="163" t="s">
        <v>585</v>
      </c>
      <c r="W21" s="163"/>
      <c r="X21" s="163"/>
      <c r="Y21" s="163"/>
      <c r="Z21" s="163"/>
      <c r="AA21" s="163"/>
    </row>
    <row r="22" spans="1:27" s="164" customFormat="1" ht="15" customHeight="1">
      <c r="A22" s="106"/>
      <c r="B22" s="106">
        <v>35111</v>
      </c>
      <c r="C22" s="106">
        <v>6409</v>
      </c>
      <c r="D22" s="106">
        <v>6122</v>
      </c>
      <c r="E22" s="99">
        <v>20</v>
      </c>
      <c r="F22" s="105" t="s">
        <v>446</v>
      </c>
      <c r="G22" s="112"/>
      <c r="H22" s="104">
        <v>0</v>
      </c>
      <c r="I22" s="104"/>
      <c r="J22" s="104"/>
      <c r="K22" s="104"/>
      <c r="L22" s="104"/>
      <c r="M22" s="104"/>
      <c r="N22" s="104"/>
      <c r="O22" s="204">
        <v>0</v>
      </c>
      <c r="P22" s="204">
        <v>90000</v>
      </c>
      <c r="Q22" s="203">
        <f>90000-2030</f>
        <v>87970</v>
      </c>
      <c r="R22" s="104">
        <v>87625.2</v>
      </c>
      <c r="S22" s="204">
        <f t="shared" si="1"/>
        <v>99.6080481982494</v>
      </c>
      <c r="T22" s="119" t="s">
        <v>53</v>
      </c>
      <c r="U22" s="163"/>
      <c r="W22" s="163"/>
      <c r="X22" s="163"/>
      <c r="Y22" s="163"/>
      <c r="Z22" s="163"/>
      <c r="AA22" s="163"/>
    </row>
    <row r="23" spans="1:27" s="164" customFormat="1" ht="15" customHeight="1">
      <c r="A23" s="106"/>
      <c r="B23" s="106">
        <v>35115</v>
      </c>
      <c r="C23" s="106">
        <v>1031</v>
      </c>
      <c r="D23" s="106">
        <v>6202</v>
      </c>
      <c r="E23" s="99">
        <v>21</v>
      </c>
      <c r="F23" s="105" t="s">
        <v>447</v>
      </c>
      <c r="G23" s="112"/>
      <c r="H23" s="104">
        <v>0</v>
      </c>
      <c r="I23" s="104"/>
      <c r="J23" s="104"/>
      <c r="K23" s="104"/>
      <c r="L23" s="104"/>
      <c r="M23" s="104"/>
      <c r="N23" s="104"/>
      <c r="O23" s="204">
        <v>0</v>
      </c>
      <c r="P23" s="204">
        <v>2000000</v>
      </c>
      <c r="Q23" s="203">
        <v>2000000</v>
      </c>
      <c r="R23" s="104">
        <v>2000000</v>
      </c>
      <c r="S23" s="204">
        <f t="shared" si="1"/>
        <v>100</v>
      </c>
      <c r="T23" s="119" t="s">
        <v>448</v>
      </c>
      <c r="U23" s="163"/>
      <c r="W23" s="163"/>
      <c r="X23" s="163"/>
      <c r="Y23" s="163"/>
      <c r="Z23" s="163"/>
      <c r="AA23" s="163"/>
    </row>
    <row r="24" spans="1:27" s="164" customFormat="1" ht="15" customHeight="1">
      <c r="A24" s="106"/>
      <c r="B24" s="106">
        <v>30952</v>
      </c>
      <c r="C24" s="106">
        <v>5311</v>
      </c>
      <c r="D24" s="106">
        <v>6122</v>
      </c>
      <c r="E24" s="99">
        <v>22</v>
      </c>
      <c r="F24" s="105" t="s">
        <v>449</v>
      </c>
      <c r="G24" s="112"/>
      <c r="H24" s="104">
        <v>0</v>
      </c>
      <c r="I24" s="104"/>
      <c r="J24" s="104">
        <v>110918</v>
      </c>
      <c r="K24" s="104"/>
      <c r="L24" s="104"/>
      <c r="M24" s="104"/>
      <c r="N24" s="104"/>
      <c r="O24" s="204">
        <f>H24+I24+J24+K24+L24+N24</f>
        <v>110918</v>
      </c>
      <c r="P24" s="204">
        <v>90735</v>
      </c>
      <c r="Q24" s="203">
        <v>451653</v>
      </c>
      <c r="R24" s="104">
        <v>372384</v>
      </c>
      <c r="S24" s="204">
        <f t="shared" si="1"/>
        <v>82.4491368373508</v>
      </c>
      <c r="T24" s="119" t="s">
        <v>36</v>
      </c>
      <c r="U24" s="163"/>
      <c r="W24" s="163"/>
      <c r="X24" s="163"/>
      <c r="Y24" s="163"/>
      <c r="Z24" s="163"/>
      <c r="AA24" s="163"/>
    </row>
    <row r="25" spans="1:27" s="164" customFormat="1" ht="15" customHeight="1">
      <c r="A25" s="106"/>
      <c r="B25" s="106">
        <v>34603</v>
      </c>
      <c r="C25" s="106">
        <v>5311</v>
      </c>
      <c r="D25" s="106">
        <v>6122</v>
      </c>
      <c r="E25" s="99">
        <v>23</v>
      </c>
      <c r="F25" s="105" t="s">
        <v>450</v>
      </c>
      <c r="G25" s="112"/>
      <c r="H25" s="104">
        <v>0</v>
      </c>
      <c r="I25" s="104"/>
      <c r="J25" s="104"/>
      <c r="K25" s="104"/>
      <c r="L25" s="104"/>
      <c r="M25" s="104"/>
      <c r="N25" s="104"/>
      <c r="O25" s="204">
        <v>0</v>
      </c>
      <c r="P25" s="204">
        <v>167364</v>
      </c>
      <c r="Q25" s="203">
        <f>167364+416000</f>
        <v>583364</v>
      </c>
      <c r="R25" s="104">
        <v>502092</v>
      </c>
      <c r="S25" s="204">
        <f t="shared" si="1"/>
        <v>86.06838954752092</v>
      </c>
      <c r="T25" s="119" t="s">
        <v>36</v>
      </c>
      <c r="U25" s="163"/>
      <c r="W25" s="163"/>
      <c r="X25" s="163"/>
      <c r="Y25" s="163"/>
      <c r="Z25" s="163"/>
      <c r="AA25" s="163"/>
    </row>
    <row r="26" spans="1:27" s="164" customFormat="1" ht="15" customHeight="1">
      <c r="A26" s="106"/>
      <c r="B26" s="106">
        <v>35021</v>
      </c>
      <c r="C26" s="106">
        <v>2212</v>
      </c>
      <c r="D26" s="106">
        <v>6130</v>
      </c>
      <c r="E26" s="99">
        <v>24</v>
      </c>
      <c r="F26" s="105" t="s">
        <v>451</v>
      </c>
      <c r="G26" s="112"/>
      <c r="H26" s="104">
        <v>0</v>
      </c>
      <c r="I26" s="104">
        <v>1298500</v>
      </c>
      <c r="J26" s="104"/>
      <c r="K26" s="104"/>
      <c r="L26" s="104"/>
      <c r="M26" s="104"/>
      <c r="N26" s="104"/>
      <c r="O26" s="204">
        <f>H26+I26+J26+K26+L26+N26</f>
        <v>1298500</v>
      </c>
      <c r="P26" s="204"/>
      <c r="Q26" s="203">
        <v>1298500</v>
      </c>
      <c r="R26" s="104">
        <v>1298349.98</v>
      </c>
      <c r="S26" s="204">
        <f t="shared" si="1"/>
        <v>99.98844666923374</v>
      </c>
      <c r="T26" s="119" t="s">
        <v>135</v>
      </c>
      <c r="U26" s="163"/>
      <c r="W26" s="163"/>
      <c r="X26" s="163"/>
      <c r="Y26" s="163"/>
      <c r="Z26" s="163"/>
      <c r="AA26" s="163"/>
    </row>
    <row r="27" spans="1:27" s="164" customFormat="1" ht="15" customHeight="1">
      <c r="A27" s="106"/>
      <c r="B27" s="106">
        <v>34379</v>
      </c>
      <c r="C27" s="106">
        <v>6171</v>
      </c>
      <c r="D27" s="106">
        <v>6111</v>
      </c>
      <c r="E27" s="99">
        <v>25</v>
      </c>
      <c r="F27" s="105" t="s">
        <v>452</v>
      </c>
      <c r="G27" s="112"/>
      <c r="H27" s="104">
        <v>0</v>
      </c>
      <c r="I27" s="104"/>
      <c r="J27" s="104"/>
      <c r="K27" s="104"/>
      <c r="L27" s="104"/>
      <c r="M27" s="104"/>
      <c r="N27" s="104"/>
      <c r="O27" s="204">
        <v>0</v>
      </c>
      <c r="P27" s="204">
        <v>3000000</v>
      </c>
      <c r="Q27" s="203">
        <f>11000000+4000000</f>
        <v>15000000</v>
      </c>
      <c r="R27" s="104">
        <f>14039245.2</f>
        <v>14039245.2</v>
      </c>
      <c r="S27" s="204">
        <f t="shared" si="1"/>
        <v>93.594968</v>
      </c>
      <c r="T27" s="119" t="s">
        <v>453</v>
      </c>
      <c r="U27" s="163"/>
      <c r="W27" s="163"/>
      <c r="X27" s="163"/>
      <c r="Y27" s="163"/>
      <c r="Z27" s="163"/>
      <c r="AA27" s="163"/>
    </row>
    <row r="28" spans="1:27" s="164" customFormat="1" ht="15" customHeight="1">
      <c r="A28" s="106"/>
      <c r="B28" s="106">
        <v>35156</v>
      </c>
      <c r="C28" s="106">
        <v>6171</v>
      </c>
      <c r="D28" s="106">
        <v>6111</v>
      </c>
      <c r="E28" s="99">
        <v>26</v>
      </c>
      <c r="F28" s="105" t="s">
        <v>452</v>
      </c>
      <c r="G28" s="112"/>
      <c r="H28" s="104">
        <v>0</v>
      </c>
      <c r="I28" s="104"/>
      <c r="J28" s="104"/>
      <c r="K28" s="104"/>
      <c r="L28" s="104"/>
      <c r="M28" s="104"/>
      <c r="N28" s="104"/>
      <c r="O28" s="204"/>
      <c r="P28" s="204"/>
      <c r="Q28" s="203">
        <v>0</v>
      </c>
      <c r="R28" s="104">
        <v>550694.4</v>
      </c>
      <c r="S28" s="204">
        <v>0</v>
      </c>
      <c r="T28" s="119" t="s">
        <v>277</v>
      </c>
      <c r="U28" s="163"/>
      <c r="W28" s="163"/>
      <c r="X28" s="163"/>
      <c r="Y28" s="163"/>
      <c r="Z28" s="163"/>
      <c r="AA28" s="163"/>
    </row>
    <row r="29" spans="1:27" s="164" customFormat="1" ht="15" customHeight="1">
      <c r="A29" s="106"/>
      <c r="B29" s="106">
        <v>31111</v>
      </c>
      <c r="C29" s="106">
        <v>6171</v>
      </c>
      <c r="D29" s="106">
        <v>6125</v>
      </c>
      <c r="E29" s="99">
        <v>27</v>
      </c>
      <c r="F29" s="105" t="s">
        <v>455</v>
      </c>
      <c r="G29" s="112"/>
      <c r="H29" s="104">
        <v>0</v>
      </c>
      <c r="I29" s="104"/>
      <c r="J29" s="104"/>
      <c r="K29" s="104"/>
      <c r="L29" s="104"/>
      <c r="M29" s="104"/>
      <c r="N29" s="104"/>
      <c r="O29" s="204">
        <v>300000</v>
      </c>
      <c r="P29" s="204">
        <v>2000000</v>
      </c>
      <c r="Q29" s="203">
        <v>2700000</v>
      </c>
      <c r="R29" s="104">
        <f>504077.6</f>
        <v>504077.6</v>
      </c>
      <c r="S29" s="204">
        <f aca="true" t="shared" si="2" ref="S29:S37">R29/Q29*100</f>
        <v>18.66954074074074</v>
      </c>
      <c r="T29" s="119" t="s">
        <v>453</v>
      </c>
      <c r="U29" s="163"/>
      <c r="W29" s="163"/>
      <c r="X29" s="163"/>
      <c r="Y29" s="163"/>
      <c r="Z29" s="163"/>
      <c r="AA29" s="163"/>
    </row>
    <row r="30" spans="1:27" s="164" customFormat="1" ht="15" customHeight="1">
      <c r="A30" s="106"/>
      <c r="B30" s="106">
        <v>35156</v>
      </c>
      <c r="C30" s="106">
        <v>6171</v>
      </c>
      <c r="D30" s="106">
        <v>6125</v>
      </c>
      <c r="E30" s="99">
        <v>28</v>
      </c>
      <c r="F30" s="105" t="s">
        <v>455</v>
      </c>
      <c r="G30" s="112"/>
      <c r="H30" s="104">
        <v>0</v>
      </c>
      <c r="I30" s="104"/>
      <c r="J30" s="104"/>
      <c r="K30" s="104"/>
      <c r="L30" s="104"/>
      <c r="M30" s="104"/>
      <c r="N30" s="104"/>
      <c r="O30" s="204"/>
      <c r="P30" s="204"/>
      <c r="Q30" s="203">
        <v>0</v>
      </c>
      <c r="R30" s="104">
        <v>2042100</v>
      </c>
      <c r="S30" s="204">
        <v>0</v>
      </c>
      <c r="T30" s="119" t="s">
        <v>277</v>
      </c>
      <c r="U30" s="163"/>
      <c r="W30" s="163"/>
      <c r="X30" s="163"/>
      <c r="Y30" s="163"/>
      <c r="Z30" s="163"/>
      <c r="AA30" s="163"/>
    </row>
    <row r="31" spans="1:27" s="164" customFormat="1" ht="15" customHeight="1">
      <c r="A31" s="106"/>
      <c r="B31" s="106">
        <v>32513</v>
      </c>
      <c r="C31" s="106">
        <v>2141</v>
      </c>
      <c r="D31" s="106">
        <v>6122</v>
      </c>
      <c r="E31" s="99">
        <v>29</v>
      </c>
      <c r="F31" s="105" t="s">
        <v>456</v>
      </c>
      <c r="G31" s="112"/>
      <c r="H31" s="104">
        <v>0</v>
      </c>
      <c r="I31" s="104"/>
      <c r="J31" s="104"/>
      <c r="K31" s="104"/>
      <c r="L31" s="104"/>
      <c r="M31" s="104"/>
      <c r="N31" s="104"/>
      <c r="O31" s="204"/>
      <c r="P31" s="204"/>
      <c r="Q31" s="203">
        <v>43480</v>
      </c>
      <c r="R31" s="104">
        <v>43480</v>
      </c>
      <c r="S31" s="204">
        <f t="shared" si="2"/>
        <v>100</v>
      </c>
      <c r="T31" s="119" t="s">
        <v>53</v>
      </c>
      <c r="U31" s="163"/>
      <c r="W31" s="163"/>
      <c r="X31" s="163"/>
      <c r="Y31" s="163"/>
      <c r="Z31" s="163"/>
      <c r="AA31" s="163"/>
    </row>
    <row r="32" spans="1:27" s="164" customFormat="1" ht="15" customHeight="1">
      <c r="A32" s="106"/>
      <c r="B32" s="106">
        <v>35157</v>
      </c>
      <c r="C32" s="106">
        <v>6171</v>
      </c>
      <c r="D32" s="106">
        <v>6122</v>
      </c>
      <c r="E32" s="99">
        <v>30</v>
      </c>
      <c r="F32" s="105" t="s">
        <v>100</v>
      </c>
      <c r="G32" s="112"/>
      <c r="H32" s="104"/>
      <c r="I32" s="104"/>
      <c r="J32" s="104"/>
      <c r="K32" s="104"/>
      <c r="L32" s="104"/>
      <c r="M32" s="104"/>
      <c r="N32" s="104"/>
      <c r="O32" s="204"/>
      <c r="P32" s="204"/>
      <c r="Q32" s="203">
        <v>89880</v>
      </c>
      <c r="R32" s="104">
        <v>89880</v>
      </c>
      <c r="S32" s="204">
        <f t="shared" si="2"/>
        <v>100</v>
      </c>
      <c r="T32" s="119" t="s">
        <v>454</v>
      </c>
      <c r="U32" s="163"/>
      <c r="W32" s="163"/>
      <c r="X32" s="163"/>
      <c r="Y32" s="163"/>
      <c r="Z32" s="163"/>
      <c r="AA32" s="163"/>
    </row>
    <row r="33" spans="1:27" s="164" customFormat="1" ht="15" customHeight="1">
      <c r="A33" s="106"/>
      <c r="B33" s="106">
        <v>34759</v>
      </c>
      <c r="C33" s="106">
        <v>2321</v>
      </c>
      <c r="D33" s="106">
        <v>6130</v>
      </c>
      <c r="E33" s="99">
        <v>31</v>
      </c>
      <c r="F33" s="105" t="s">
        <v>457</v>
      </c>
      <c r="G33" s="112"/>
      <c r="H33" s="104">
        <v>0</v>
      </c>
      <c r="I33" s="104">
        <v>170000</v>
      </c>
      <c r="J33" s="104"/>
      <c r="K33" s="104"/>
      <c r="L33" s="104"/>
      <c r="M33" s="104"/>
      <c r="N33" s="104"/>
      <c r="O33" s="204">
        <f>H33+I33+J33+K33+L33+N33</f>
        <v>170000</v>
      </c>
      <c r="P33" s="204"/>
      <c r="Q33" s="203">
        <v>170000</v>
      </c>
      <c r="R33" s="104">
        <v>170000</v>
      </c>
      <c r="S33" s="204">
        <f t="shared" si="2"/>
        <v>100</v>
      </c>
      <c r="T33" s="119" t="s">
        <v>135</v>
      </c>
      <c r="U33" s="163"/>
      <c r="W33" s="163"/>
      <c r="X33" s="163"/>
      <c r="Y33" s="163"/>
      <c r="Z33" s="163"/>
      <c r="AA33" s="163"/>
    </row>
    <row r="34" spans="1:27" s="164" customFormat="1" ht="15" customHeight="1">
      <c r="A34" s="106"/>
      <c r="B34" s="106">
        <v>35137</v>
      </c>
      <c r="C34" s="106">
        <v>2223</v>
      </c>
      <c r="D34" s="106">
        <v>6122</v>
      </c>
      <c r="E34" s="99">
        <v>32</v>
      </c>
      <c r="F34" s="105" t="s">
        <v>458</v>
      </c>
      <c r="G34" s="112"/>
      <c r="H34" s="104">
        <v>0</v>
      </c>
      <c r="I34" s="104"/>
      <c r="J34" s="104"/>
      <c r="K34" s="104"/>
      <c r="L34" s="104"/>
      <c r="M34" s="104"/>
      <c r="N34" s="104"/>
      <c r="O34" s="204"/>
      <c r="P34" s="204"/>
      <c r="Q34" s="203">
        <v>63564</v>
      </c>
      <c r="R34" s="104">
        <v>63564</v>
      </c>
      <c r="S34" s="204">
        <f t="shared" si="2"/>
        <v>100</v>
      </c>
      <c r="T34" s="183" t="s">
        <v>747</v>
      </c>
      <c r="U34" s="163"/>
      <c r="W34" s="163"/>
      <c r="X34" s="163"/>
      <c r="Y34" s="163"/>
      <c r="Z34" s="163"/>
      <c r="AA34" s="163"/>
    </row>
    <row r="35" spans="1:27" s="164" customFormat="1" ht="15" customHeight="1">
      <c r="A35" s="106"/>
      <c r="B35" s="106">
        <v>35138</v>
      </c>
      <c r="C35" s="106">
        <v>2223</v>
      </c>
      <c r="D35" s="106">
        <v>6122</v>
      </c>
      <c r="E35" s="99">
        <v>33</v>
      </c>
      <c r="F35" s="105" t="s">
        <v>459</v>
      </c>
      <c r="G35" s="112"/>
      <c r="H35" s="104">
        <v>0</v>
      </c>
      <c r="I35" s="104"/>
      <c r="J35" s="104"/>
      <c r="K35" s="104"/>
      <c r="L35" s="104"/>
      <c r="M35" s="104"/>
      <c r="N35" s="104"/>
      <c r="O35" s="204"/>
      <c r="P35" s="204"/>
      <c r="Q35" s="203">
        <v>63564</v>
      </c>
      <c r="R35" s="104">
        <v>63564</v>
      </c>
      <c r="S35" s="204">
        <f t="shared" si="2"/>
        <v>100</v>
      </c>
      <c r="T35" s="183" t="s">
        <v>747</v>
      </c>
      <c r="U35" s="163"/>
      <c r="W35" s="163"/>
      <c r="X35" s="163"/>
      <c r="Y35" s="163"/>
      <c r="Z35" s="163"/>
      <c r="AA35" s="163"/>
    </row>
    <row r="36" spans="1:27" s="164" customFormat="1" ht="15" customHeight="1">
      <c r="A36" s="106"/>
      <c r="B36" s="106">
        <v>35139</v>
      </c>
      <c r="C36" s="106">
        <v>2223</v>
      </c>
      <c r="D36" s="106">
        <v>6122</v>
      </c>
      <c r="E36" s="99">
        <v>34</v>
      </c>
      <c r="F36" s="105" t="s">
        <v>746</v>
      </c>
      <c r="G36" s="112"/>
      <c r="H36" s="104">
        <v>0</v>
      </c>
      <c r="I36" s="104"/>
      <c r="J36" s="104"/>
      <c r="K36" s="104"/>
      <c r="L36" s="104"/>
      <c r="M36" s="104"/>
      <c r="N36" s="104"/>
      <c r="O36" s="204"/>
      <c r="P36" s="204"/>
      <c r="Q36" s="203">
        <v>65982</v>
      </c>
      <c r="R36" s="104">
        <v>43988</v>
      </c>
      <c r="S36" s="204">
        <f t="shared" si="2"/>
        <v>66.66666666666666</v>
      </c>
      <c r="T36" s="183" t="s">
        <v>747</v>
      </c>
      <c r="U36" s="163"/>
      <c r="W36" s="163"/>
      <c r="X36" s="163"/>
      <c r="Y36" s="163"/>
      <c r="Z36" s="163"/>
      <c r="AA36" s="163"/>
    </row>
    <row r="37" spans="1:27" s="164" customFormat="1" ht="15" customHeight="1">
      <c r="A37" s="106"/>
      <c r="B37" s="106">
        <v>35139</v>
      </c>
      <c r="C37" s="106">
        <v>2223</v>
      </c>
      <c r="D37" s="106">
        <v>6122</v>
      </c>
      <c r="E37" s="99">
        <v>35</v>
      </c>
      <c r="F37" s="105" t="s">
        <v>746</v>
      </c>
      <c r="G37" s="112"/>
      <c r="H37" s="104">
        <v>0</v>
      </c>
      <c r="I37" s="104"/>
      <c r="J37" s="104"/>
      <c r="K37" s="104"/>
      <c r="L37" s="104"/>
      <c r="M37" s="104"/>
      <c r="N37" s="104"/>
      <c r="O37" s="204"/>
      <c r="P37" s="204"/>
      <c r="Q37" s="203">
        <v>21994</v>
      </c>
      <c r="R37" s="104">
        <v>21994</v>
      </c>
      <c r="S37" s="204">
        <f t="shared" si="2"/>
        <v>100</v>
      </c>
      <c r="T37" s="347" t="s">
        <v>712</v>
      </c>
      <c r="U37" s="163"/>
      <c r="W37" s="163"/>
      <c r="X37" s="163"/>
      <c r="Y37" s="163"/>
      <c r="Z37" s="163"/>
      <c r="AA37" s="163"/>
    </row>
    <row r="38" spans="1:27" s="164" customFormat="1" ht="15" customHeight="1">
      <c r="A38" s="106"/>
      <c r="B38" s="106">
        <v>31063</v>
      </c>
      <c r="C38" s="106">
        <v>2321</v>
      </c>
      <c r="D38" s="106">
        <v>6130</v>
      </c>
      <c r="E38" s="99">
        <v>36</v>
      </c>
      <c r="F38" s="105" t="s">
        <v>460</v>
      </c>
      <c r="G38" s="112"/>
      <c r="H38" s="104">
        <v>0</v>
      </c>
      <c r="I38" s="104">
        <v>100000</v>
      </c>
      <c r="J38" s="104"/>
      <c r="K38" s="104"/>
      <c r="L38" s="104"/>
      <c r="M38" s="104"/>
      <c r="N38" s="104"/>
      <c r="O38" s="204">
        <f>H38+I38+J38+K38+L38+N38</f>
        <v>100000</v>
      </c>
      <c r="P38" s="204"/>
      <c r="Q38" s="203">
        <v>718000</v>
      </c>
      <c r="R38" s="104">
        <v>717200</v>
      </c>
      <c r="S38" s="204">
        <f aca="true" t="shared" si="3" ref="S38:S45">R38/Q38*100</f>
        <v>99.88857938718662</v>
      </c>
      <c r="T38" s="119" t="s">
        <v>135</v>
      </c>
      <c r="U38" s="163"/>
      <c r="W38" s="163"/>
      <c r="X38" s="163"/>
      <c r="Y38" s="163"/>
      <c r="Z38" s="163"/>
      <c r="AA38" s="163"/>
    </row>
    <row r="39" spans="1:27" s="211" customFormat="1" ht="15" customHeight="1">
      <c r="A39" s="134"/>
      <c r="B39" s="134">
        <v>34401</v>
      </c>
      <c r="C39" s="134">
        <v>2321</v>
      </c>
      <c r="D39" s="134">
        <v>6121</v>
      </c>
      <c r="E39" s="99">
        <v>37</v>
      </c>
      <c r="F39" s="184" t="s">
        <v>461</v>
      </c>
      <c r="G39" s="207"/>
      <c r="H39" s="208">
        <v>0</v>
      </c>
      <c r="I39" s="208">
        <v>1034250</v>
      </c>
      <c r="J39" s="208"/>
      <c r="K39" s="208"/>
      <c r="L39" s="208"/>
      <c r="M39" s="208"/>
      <c r="N39" s="208"/>
      <c r="O39" s="204">
        <f>H39+I39+J39+K39+L39+N39</f>
        <v>1034250</v>
      </c>
      <c r="P39" s="209"/>
      <c r="Q39" s="203">
        <v>1034250</v>
      </c>
      <c r="R39" s="208">
        <v>1034250</v>
      </c>
      <c r="S39" s="204">
        <f t="shared" si="3"/>
        <v>100</v>
      </c>
      <c r="T39" s="183" t="s">
        <v>462</v>
      </c>
      <c r="U39" s="210"/>
      <c r="W39" s="210"/>
      <c r="X39" s="210"/>
      <c r="Y39" s="210"/>
      <c r="Z39" s="210"/>
      <c r="AA39" s="210"/>
    </row>
    <row r="40" spans="1:27" s="164" customFormat="1" ht="15" customHeight="1">
      <c r="A40" s="106"/>
      <c r="B40" s="106">
        <v>14927</v>
      </c>
      <c r="C40" s="106">
        <v>2141</v>
      </c>
      <c r="D40" s="106">
        <v>6111</v>
      </c>
      <c r="E40" s="99">
        <v>38</v>
      </c>
      <c r="F40" s="105" t="s">
        <v>463</v>
      </c>
      <c r="G40" s="112"/>
      <c r="H40" s="104">
        <v>0</v>
      </c>
      <c r="I40" s="104"/>
      <c r="J40" s="104"/>
      <c r="K40" s="104"/>
      <c r="L40" s="104"/>
      <c r="M40" s="104"/>
      <c r="N40" s="104"/>
      <c r="O40" s="204">
        <v>2030000</v>
      </c>
      <c r="P40" s="204"/>
      <c r="Q40" s="203">
        <v>2031000</v>
      </c>
      <c r="R40" s="104">
        <v>454</v>
      </c>
      <c r="S40" s="204">
        <f t="shared" si="3"/>
        <v>0.022353520433284098</v>
      </c>
      <c r="T40" s="119" t="s">
        <v>53</v>
      </c>
      <c r="U40" s="163"/>
      <c r="W40" s="163"/>
      <c r="X40" s="163"/>
      <c r="Y40" s="163"/>
      <c r="Z40" s="163"/>
      <c r="AA40" s="163"/>
    </row>
    <row r="41" spans="1:27" s="211" customFormat="1" ht="15" customHeight="1">
      <c r="A41" s="134"/>
      <c r="B41" s="134">
        <v>34398</v>
      </c>
      <c r="C41" s="134">
        <v>3639</v>
      </c>
      <c r="D41" s="134">
        <v>6130</v>
      </c>
      <c r="E41" s="99">
        <v>39</v>
      </c>
      <c r="F41" s="184" t="s">
        <v>464</v>
      </c>
      <c r="G41" s="207"/>
      <c r="H41" s="208">
        <v>0</v>
      </c>
      <c r="I41" s="208"/>
      <c r="J41" s="208"/>
      <c r="K41" s="208"/>
      <c r="L41" s="208"/>
      <c r="M41" s="208"/>
      <c r="N41" s="208"/>
      <c r="O41" s="204">
        <v>59000</v>
      </c>
      <c r="P41" s="209"/>
      <c r="Q41" s="203">
        <v>156000</v>
      </c>
      <c r="R41" s="208">
        <v>126662</v>
      </c>
      <c r="S41" s="204">
        <f t="shared" si="3"/>
        <v>81.19358974358974</v>
      </c>
      <c r="T41" s="183" t="s">
        <v>135</v>
      </c>
      <c r="U41" s="210"/>
      <c r="W41" s="210"/>
      <c r="X41" s="210"/>
      <c r="Y41" s="210"/>
      <c r="Z41" s="210"/>
      <c r="AA41" s="210"/>
    </row>
    <row r="42" spans="1:27" s="211" customFormat="1" ht="15" customHeight="1">
      <c r="A42" s="134"/>
      <c r="B42" s="134">
        <v>30753</v>
      </c>
      <c r="C42" s="134">
        <v>3639</v>
      </c>
      <c r="D42" s="134">
        <v>6130</v>
      </c>
      <c r="E42" s="99">
        <v>40</v>
      </c>
      <c r="F42" s="184" t="s">
        <v>464</v>
      </c>
      <c r="G42" s="207"/>
      <c r="H42" s="208">
        <v>0</v>
      </c>
      <c r="I42" s="208"/>
      <c r="J42" s="208"/>
      <c r="K42" s="208"/>
      <c r="L42" s="208"/>
      <c r="M42" s="208"/>
      <c r="N42" s="208">
        <v>380200</v>
      </c>
      <c r="O42" s="204">
        <v>120579</v>
      </c>
      <c r="P42" s="209"/>
      <c r="Q42" s="203">
        <v>6831979</v>
      </c>
      <c r="R42" s="208">
        <v>6761979</v>
      </c>
      <c r="S42" s="204">
        <f t="shared" si="3"/>
        <v>98.97540668670088</v>
      </c>
      <c r="T42" s="183" t="s">
        <v>462</v>
      </c>
      <c r="U42" s="210"/>
      <c r="W42" s="210"/>
      <c r="X42" s="210"/>
      <c r="Y42" s="210"/>
      <c r="Z42" s="210"/>
      <c r="AA42" s="210"/>
    </row>
    <row r="43" spans="1:27" s="211" customFormat="1" ht="15" customHeight="1">
      <c r="A43" s="134"/>
      <c r="B43" s="134">
        <v>35093</v>
      </c>
      <c r="C43" s="134">
        <v>3613</v>
      </c>
      <c r="D43" s="134">
        <v>6121</v>
      </c>
      <c r="E43" s="99">
        <v>41</v>
      </c>
      <c r="F43" s="184" t="s">
        <v>824</v>
      </c>
      <c r="G43" s="207"/>
      <c r="H43" s="208">
        <v>0</v>
      </c>
      <c r="I43" s="208"/>
      <c r="J43" s="208"/>
      <c r="K43" s="208"/>
      <c r="L43" s="208">
        <v>15276</v>
      </c>
      <c r="M43" s="208"/>
      <c r="N43" s="208"/>
      <c r="O43" s="204">
        <f>H43+I43+J43+K43+L43+N43</f>
        <v>15276</v>
      </c>
      <c r="P43" s="209"/>
      <c r="Q43" s="203">
        <v>15276</v>
      </c>
      <c r="R43" s="208">
        <v>15276</v>
      </c>
      <c r="S43" s="204">
        <f t="shared" si="3"/>
        <v>100</v>
      </c>
      <c r="T43" s="183" t="s">
        <v>462</v>
      </c>
      <c r="U43" s="210"/>
      <c r="W43" s="210"/>
      <c r="X43" s="210"/>
      <c r="Y43" s="210"/>
      <c r="Z43" s="210"/>
      <c r="AA43" s="210"/>
    </row>
    <row r="44" spans="1:27" s="211" customFormat="1" ht="15" customHeight="1">
      <c r="A44" s="134"/>
      <c r="B44" s="134">
        <v>35084</v>
      </c>
      <c r="C44" s="134">
        <v>3639</v>
      </c>
      <c r="D44" s="134">
        <v>6130</v>
      </c>
      <c r="E44" s="99">
        <v>42</v>
      </c>
      <c r="F44" s="184" t="s">
        <v>825</v>
      </c>
      <c r="G44" s="207"/>
      <c r="H44" s="208">
        <v>0</v>
      </c>
      <c r="I44" s="208"/>
      <c r="J44" s="208">
        <v>909700</v>
      </c>
      <c r="K44" s="208">
        <v>14090300</v>
      </c>
      <c r="L44" s="208"/>
      <c r="M44" s="208"/>
      <c r="N44" s="208"/>
      <c r="O44" s="209">
        <v>909700</v>
      </c>
      <c r="P44" s="209"/>
      <c r="Q44" s="203">
        <v>909700</v>
      </c>
      <c r="R44" s="208">
        <v>909700</v>
      </c>
      <c r="S44" s="204">
        <f t="shared" si="3"/>
        <v>100</v>
      </c>
      <c r="T44" s="183" t="s">
        <v>462</v>
      </c>
      <c r="U44" s="210"/>
      <c r="W44" s="210"/>
      <c r="X44" s="210"/>
      <c r="Y44" s="210"/>
      <c r="Z44" s="210"/>
      <c r="AA44" s="210"/>
    </row>
    <row r="45" spans="1:27" s="164" customFormat="1" ht="15" customHeight="1">
      <c r="A45" s="106"/>
      <c r="B45" s="106">
        <v>35085</v>
      </c>
      <c r="C45" s="106">
        <v>3639</v>
      </c>
      <c r="D45" s="106">
        <v>6121</v>
      </c>
      <c r="E45" s="99">
        <v>43</v>
      </c>
      <c r="F45" s="105" t="s">
        <v>826</v>
      </c>
      <c r="G45" s="112"/>
      <c r="H45" s="104">
        <v>0</v>
      </c>
      <c r="I45" s="104"/>
      <c r="J45" s="104"/>
      <c r="K45" s="104"/>
      <c r="L45" s="104"/>
      <c r="M45" s="104"/>
      <c r="N45" s="104"/>
      <c r="O45" s="204">
        <v>14090300</v>
      </c>
      <c r="P45" s="204"/>
      <c r="Q45" s="203">
        <v>14090300</v>
      </c>
      <c r="R45" s="104">
        <v>14090300</v>
      </c>
      <c r="S45" s="204">
        <f t="shared" si="3"/>
        <v>100</v>
      </c>
      <c r="T45" s="119" t="s">
        <v>462</v>
      </c>
      <c r="U45" s="163"/>
      <c r="W45" s="163"/>
      <c r="X45" s="163"/>
      <c r="Y45" s="163"/>
      <c r="Z45" s="163"/>
      <c r="AA45" s="163"/>
    </row>
    <row r="46" spans="1:27" s="211" customFormat="1" ht="15" customHeight="1">
      <c r="A46" s="134"/>
      <c r="B46" s="134">
        <v>35112</v>
      </c>
      <c r="C46" s="134">
        <v>3419</v>
      </c>
      <c r="D46" s="134">
        <v>6122</v>
      </c>
      <c r="E46" s="99">
        <v>44</v>
      </c>
      <c r="F46" s="184" t="s">
        <v>827</v>
      </c>
      <c r="G46" s="207"/>
      <c r="H46" s="208">
        <v>0</v>
      </c>
      <c r="I46" s="208"/>
      <c r="J46" s="208"/>
      <c r="K46" s="208"/>
      <c r="L46" s="208"/>
      <c r="M46" s="208"/>
      <c r="N46" s="208"/>
      <c r="O46" s="209">
        <v>0</v>
      </c>
      <c r="P46" s="209">
        <v>1200000</v>
      </c>
      <c r="Q46" s="212">
        <v>1140000</v>
      </c>
      <c r="R46" s="208">
        <v>1139988</v>
      </c>
      <c r="S46" s="204">
        <f>R46/Q46*100</f>
        <v>99.99894736842106</v>
      </c>
      <c r="T46" s="183" t="s">
        <v>53</v>
      </c>
      <c r="U46" s="210"/>
      <c r="W46" s="210"/>
      <c r="X46" s="210"/>
      <c r="Y46" s="210"/>
      <c r="Z46" s="210"/>
      <c r="AA46" s="210"/>
    </row>
    <row r="47" spans="1:27" s="164" customFormat="1" ht="15" customHeight="1">
      <c r="A47" s="106"/>
      <c r="B47" s="106">
        <v>14931</v>
      </c>
      <c r="C47" s="106">
        <v>3741</v>
      </c>
      <c r="D47" s="106">
        <v>6111</v>
      </c>
      <c r="E47" s="99">
        <v>45</v>
      </c>
      <c r="F47" s="105" t="s">
        <v>828</v>
      </c>
      <c r="G47" s="112"/>
      <c r="H47" s="104">
        <v>0</v>
      </c>
      <c r="I47" s="104"/>
      <c r="J47" s="104"/>
      <c r="K47" s="104"/>
      <c r="L47" s="104"/>
      <c r="M47" s="104"/>
      <c r="N47" s="104"/>
      <c r="O47" s="204">
        <v>500000</v>
      </c>
      <c r="P47" s="204"/>
      <c r="Q47" s="203">
        <v>500000</v>
      </c>
      <c r="R47" s="104">
        <v>487200</v>
      </c>
      <c r="S47" s="204">
        <f>R47/Q47*100</f>
        <v>97.44</v>
      </c>
      <c r="T47" s="119" t="s">
        <v>135</v>
      </c>
      <c r="U47" s="163"/>
      <c r="W47" s="163"/>
      <c r="X47" s="163"/>
      <c r="Y47" s="163"/>
      <c r="Z47" s="163"/>
      <c r="AA47" s="163"/>
    </row>
    <row r="48" spans="1:27" s="220" customFormat="1" ht="15" customHeight="1" thickBot="1">
      <c r="A48" s="213"/>
      <c r="B48" s="213">
        <v>14931</v>
      </c>
      <c r="C48" s="213">
        <v>3741</v>
      </c>
      <c r="D48" s="213">
        <v>6122</v>
      </c>
      <c r="E48" s="99">
        <v>46</v>
      </c>
      <c r="F48" s="214" t="s">
        <v>828</v>
      </c>
      <c r="G48" s="215"/>
      <c r="H48" s="216">
        <v>0</v>
      </c>
      <c r="I48" s="216"/>
      <c r="J48" s="216"/>
      <c r="K48" s="216"/>
      <c r="L48" s="216"/>
      <c r="M48" s="216"/>
      <c r="N48" s="216"/>
      <c r="O48" s="217">
        <v>1000000</v>
      </c>
      <c r="P48" s="217"/>
      <c r="Q48" s="218">
        <v>971000</v>
      </c>
      <c r="R48" s="216">
        <v>970282</v>
      </c>
      <c r="S48" s="204">
        <f>R48/Q48*100</f>
        <v>99.92605561277034</v>
      </c>
      <c r="T48" s="119" t="s">
        <v>135</v>
      </c>
      <c r="U48" s="219"/>
      <c r="W48" s="219"/>
      <c r="X48" s="219"/>
      <c r="Y48" s="219"/>
      <c r="Z48" s="219"/>
      <c r="AA48" s="219"/>
    </row>
    <row r="49" spans="1:20" s="148" customFormat="1" ht="15" customHeight="1" thickBot="1">
      <c r="A49" s="194"/>
      <c r="B49" s="195"/>
      <c r="C49" s="195"/>
      <c r="D49" s="195"/>
      <c r="E49" s="195"/>
      <c r="F49" s="144" t="s">
        <v>829</v>
      </c>
      <c r="G49" s="196"/>
      <c r="H49" s="146">
        <f>H6+H13+H16+H44</f>
        <v>4060000</v>
      </c>
      <c r="I49" s="146">
        <f aca="true" t="shared" si="4" ref="I49:N49">SUM(I5:I44)</f>
        <v>2631750</v>
      </c>
      <c r="J49" s="146">
        <f t="shared" si="4"/>
        <v>1503618</v>
      </c>
      <c r="K49" s="146">
        <f t="shared" si="4"/>
        <v>14090300</v>
      </c>
      <c r="L49" s="146">
        <f t="shared" si="4"/>
        <v>15276</v>
      </c>
      <c r="M49" s="146">
        <f t="shared" si="4"/>
        <v>797600</v>
      </c>
      <c r="N49" s="146">
        <f t="shared" si="4"/>
        <v>380200</v>
      </c>
      <c r="O49" s="146">
        <f>SUM(O3:O48)</f>
        <v>32329123</v>
      </c>
      <c r="P49" s="146">
        <f>SUM(P3:P48)</f>
        <v>7914270</v>
      </c>
      <c r="Q49" s="146">
        <f>SUM(Q3:Q48)</f>
        <v>70374974.47</v>
      </c>
      <c r="R49" s="146">
        <f>SUM(R3:R48)</f>
        <v>66045154.37</v>
      </c>
      <c r="S49" s="146">
        <f>R49/Q49*100</f>
        <v>93.84750029025481</v>
      </c>
      <c r="T49" s="147"/>
    </row>
    <row r="50" spans="1:25" s="92" customFormat="1" ht="15" customHeight="1">
      <c r="A50" s="221"/>
      <c r="B50" s="221"/>
      <c r="C50" s="221"/>
      <c r="D50" s="221"/>
      <c r="E50" s="221"/>
      <c r="F50" s="222"/>
      <c r="G50" s="200"/>
      <c r="H50" s="200"/>
      <c r="I50" s="200"/>
      <c r="J50" s="200"/>
      <c r="K50" s="200"/>
      <c r="L50" s="200"/>
      <c r="M50" s="200"/>
      <c r="N50" s="200"/>
      <c r="O50" s="200"/>
      <c r="P50" s="200"/>
      <c r="Q50" s="200"/>
      <c r="R50" s="200"/>
      <c r="S50" s="200"/>
      <c r="T50" s="91"/>
      <c r="V50" s="93"/>
      <c r="W50" s="93"/>
      <c r="X50" s="93"/>
      <c r="Y50" s="93"/>
    </row>
    <row r="51" spans="1:25" s="92" customFormat="1" ht="15" customHeight="1">
      <c r="A51" s="223" t="s">
        <v>830</v>
      </c>
      <c r="B51" s="223" t="s">
        <v>831</v>
      </c>
      <c r="C51" s="221"/>
      <c r="D51" s="221"/>
      <c r="E51" s="221"/>
      <c r="F51" s="222"/>
      <c r="G51" s="200"/>
      <c r="H51" s="200"/>
      <c r="I51" s="200"/>
      <c r="J51" s="200"/>
      <c r="K51" s="200"/>
      <c r="L51" s="200"/>
      <c r="M51" s="200"/>
      <c r="N51" s="200"/>
      <c r="O51" s="200"/>
      <c r="P51" s="200"/>
      <c r="Q51" s="200"/>
      <c r="R51" s="200"/>
      <c r="S51" s="200"/>
      <c r="T51" s="91"/>
      <c r="V51" s="93"/>
      <c r="W51" s="93"/>
      <c r="X51" s="93"/>
      <c r="Y51" s="93"/>
    </row>
    <row r="52" spans="1:27" ht="15" customHeight="1">
      <c r="A52" s="224">
        <v>4293</v>
      </c>
      <c r="B52" s="224">
        <f>A52</f>
        <v>4293</v>
      </c>
      <c r="C52" s="224">
        <v>3635</v>
      </c>
      <c r="D52" s="224">
        <v>6119</v>
      </c>
      <c r="E52" s="224">
        <v>1</v>
      </c>
      <c r="F52" s="225" t="s">
        <v>832</v>
      </c>
      <c r="G52" s="108">
        <v>0.48</v>
      </c>
      <c r="H52" s="120">
        <f>G52*1000000</f>
        <v>480000</v>
      </c>
      <c r="I52" s="120"/>
      <c r="J52" s="120"/>
      <c r="K52" s="120"/>
      <c r="L52" s="120"/>
      <c r="M52" s="120"/>
      <c r="N52" s="120">
        <v>-480000</v>
      </c>
      <c r="O52" s="120">
        <f>H52+N52</f>
        <v>0</v>
      </c>
      <c r="P52" s="120"/>
      <c r="Q52" s="120">
        <v>0</v>
      </c>
      <c r="R52" s="120">
        <v>0</v>
      </c>
      <c r="S52" s="120">
        <v>0</v>
      </c>
      <c r="T52" s="226"/>
      <c r="V52" s="93"/>
      <c r="W52" s="93"/>
      <c r="X52" s="93"/>
      <c r="Y52" s="93"/>
      <c r="Z52" s="93"/>
      <c r="AA52" s="93"/>
    </row>
    <row r="53" spans="1:27" s="178" customFormat="1" ht="15" customHeight="1">
      <c r="A53" s="99">
        <v>4957</v>
      </c>
      <c r="B53" s="224">
        <f>A53</f>
        <v>4957</v>
      </c>
      <c r="C53" s="99">
        <v>3421</v>
      </c>
      <c r="D53" s="99">
        <v>6119</v>
      </c>
      <c r="E53" s="99">
        <v>2</v>
      </c>
      <c r="F53" s="227" t="s">
        <v>958</v>
      </c>
      <c r="G53" s="103">
        <v>1</v>
      </c>
      <c r="H53" s="120">
        <f>G53*1000000</f>
        <v>1000000</v>
      </c>
      <c r="I53" s="120"/>
      <c r="J53" s="120"/>
      <c r="K53" s="120"/>
      <c r="L53" s="120"/>
      <c r="M53" s="120"/>
      <c r="N53" s="120">
        <v>-1000000</v>
      </c>
      <c r="O53" s="120">
        <f>H53+N53</f>
        <v>0</v>
      </c>
      <c r="P53" s="120"/>
      <c r="Q53" s="120">
        <f>O53+P53</f>
        <v>0</v>
      </c>
      <c r="R53" s="120">
        <v>0</v>
      </c>
      <c r="S53" s="120">
        <v>0</v>
      </c>
      <c r="T53" s="105"/>
      <c r="U53" s="185"/>
      <c r="V53" s="176"/>
      <c r="W53" s="177"/>
      <c r="X53" s="177"/>
      <c r="Y53" s="177"/>
      <c r="Z53" s="177"/>
      <c r="AA53" s="177"/>
    </row>
    <row r="54" spans="1:27" s="178" customFormat="1" ht="15" customHeight="1">
      <c r="A54" s="99"/>
      <c r="B54" s="224">
        <v>5061</v>
      </c>
      <c r="C54" s="99">
        <v>3635</v>
      </c>
      <c r="D54" s="99">
        <v>6119</v>
      </c>
      <c r="E54" s="224">
        <v>3</v>
      </c>
      <c r="F54" s="227" t="s">
        <v>833</v>
      </c>
      <c r="G54" s="103"/>
      <c r="H54" s="120">
        <v>0</v>
      </c>
      <c r="I54" s="120"/>
      <c r="J54" s="120"/>
      <c r="K54" s="120"/>
      <c r="L54" s="120"/>
      <c r="M54" s="120"/>
      <c r="N54" s="120">
        <v>107000</v>
      </c>
      <c r="O54" s="120">
        <f>N54</f>
        <v>107000</v>
      </c>
      <c r="P54" s="120"/>
      <c r="Q54" s="120">
        <f>O54+P54</f>
        <v>107000</v>
      </c>
      <c r="R54" s="120">
        <v>107000</v>
      </c>
      <c r="S54" s="120">
        <f aca="true" t="shared" si="5" ref="S54:S63">R54/Q54*100</f>
        <v>100</v>
      </c>
      <c r="T54" s="105"/>
      <c r="U54" s="185"/>
      <c r="V54" s="176"/>
      <c r="W54" s="177"/>
      <c r="X54" s="177"/>
      <c r="Y54" s="177"/>
      <c r="Z54" s="177"/>
      <c r="AA54" s="177"/>
    </row>
    <row r="55" spans="1:27" ht="15" customHeight="1">
      <c r="A55" s="224">
        <v>4431</v>
      </c>
      <c r="B55" s="224">
        <f>A55</f>
        <v>4431</v>
      </c>
      <c r="C55" s="224">
        <v>3635</v>
      </c>
      <c r="D55" s="224">
        <v>6119</v>
      </c>
      <c r="E55" s="99">
        <v>4</v>
      </c>
      <c r="F55" s="225" t="s">
        <v>834</v>
      </c>
      <c r="G55" s="108">
        <v>0.1</v>
      </c>
      <c r="H55" s="120">
        <f>G55*1000000</f>
        <v>100000</v>
      </c>
      <c r="I55" s="120"/>
      <c r="J55" s="120"/>
      <c r="K55" s="120"/>
      <c r="L55" s="120"/>
      <c r="M55" s="120"/>
      <c r="N55" s="120"/>
      <c r="O55" s="120">
        <f>H55+N55</f>
        <v>100000</v>
      </c>
      <c r="P55" s="120"/>
      <c r="Q55" s="120">
        <f>O55+P55</f>
        <v>100000</v>
      </c>
      <c r="R55" s="120">
        <v>99960</v>
      </c>
      <c r="S55" s="120">
        <f t="shared" si="5"/>
        <v>99.96000000000001</v>
      </c>
      <c r="T55" s="226"/>
      <c r="V55" s="93"/>
      <c r="W55" s="93"/>
      <c r="X55" s="93"/>
      <c r="Y55" s="93"/>
      <c r="Z55" s="93"/>
      <c r="AA55" s="93"/>
    </row>
    <row r="56" spans="1:27" ht="15" customHeight="1">
      <c r="A56" s="224">
        <v>4585</v>
      </c>
      <c r="B56" s="224">
        <f>A56</f>
        <v>4585</v>
      </c>
      <c r="C56" s="224">
        <v>3635</v>
      </c>
      <c r="D56" s="224">
        <v>6119</v>
      </c>
      <c r="E56" s="224">
        <v>5</v>
      </c>
      <c r="F56" s="225" t="s">
        <v>835</v>
      </c>
      <c r="G56" s="108">
        <v>5.3</v>
      </c>
      <c r="H56" s="120">
        <v>5300000</v>
      </c>
      <c r="I56" s="120"/>
      <c r="J56" s="120"/>
      <c r="K56" s="120"/>
      <c r="L56" s="120"/>
      <c r="M56" s="120"/>
      <c r="N56" s="120"/>
      <c r="O56" s="120">
        <f>H56+N56</f>
        <v>5300000</v>
      </c>
      <c r="P56" s="120">
        <v>-200000</v>
      </c>
      <c r="Q56" s="120">
        <v>3451600</v>
      </c>
      <c r="R56" s="120">
        <v>3452000</v>
      </c>
      <c r="S56" s="120">
        <f t="shared" si="5"/>
        <v>100.01158882836944</v>
      </c>
      <c r="T56" s="226"/>
      <c r="V56" s="93"/>
      <c r="W56" s="93"/>
      <c r="X56" s="93"/>
      <c r="Y56" s="93"/>
      <c r="Z56" s="93"/>
      <c r="AA56" s="93"/>
    </row>
    <row r="57" spans="1:27" ht="15" customHeight="1">
      <c r="A57" s="224"/>
      <c r="B57" s="224">
        <v>4585</v>
      </c>
      <c r="C57" s="224">
        <v>3635</v>
      </c>
      <c r="D57" s="224">
        <v>6119</v>
      </c>
      <c r="E57" s="99">
        <v>6</v>
      </c>
      <c r="F57" s="225" t="s">
        <v>835</v>
      </c>
      <c r="G57" s="108"/>
      <c r="H57" s="120">
        <v>0</v>
      </c>
      <c r="I57" s="120"/>
      <c r="J57" s="120"/>
      <c r="K57" s="120"/>
      <c r="L57" s="120"/>
      <c r="M57" s="120"/>
      <c r="N57" s="120"/>
      <c r="O57" s="120"/>
      <c r="P57" s="120"/>
      <c r="Q57" s="120">
        <v>400050</v>
      </c>
      <c r="R57" s="120">
        <v>400050</v>
      </c>
      <c r="S57" s="120">
        <f t="shared" si="5"/>
        <v>100</v>
      </c>
      <c r="T57" s="228" t="s">
        <v>836</v>
      </c>
      <c r="V57" s="93"/>
      <c r="W57" s="93"/>
      <c r="X57" s="93"/>
      <c r="Y57" s="93"/>
      <c r="Z57" s="93"/>
      <c r="AA57" s="93"/>
    </row>
    <row r="58" spans="1:27" ht="15" customHeight="1">
      <c r="A58" s="224"/>
      <c r="B58" s="224">
        <v>4585</v>
      </c>
      <c r="C58" s="224">
        <v>3635</v>
      </c>
      <c r="D58" s="224">
        <v>6119</v>
      </c>
      <c r="E58" s="224">
        <v>7</v>
      </c>
      <c r="F58" s="225" t="s">
        <v>835</v>
      </c>
      <c r="G58" s="108"/>
      <c r="H58" s="120">
        <v>0</v>
      </c>
      <c r="I58" s="120"/>
      <c r="J58" s="120"/>
      <c r="K58" s="120"/>
      <c r="L58" s="120"/>
      <c r="M58" s="120"/>
      <c r="N58" s="120"/>
      <c r="O58" s="120"/>
      <c r="P58" s="120"/>
      <c r="Q58" s="120">
        <v>2266950</v>
      </c>
      <c r="R58" s="120">
        <v>2266950</v>
      </c>
      <c r="S58" s="120">
        <f t="shared" si="5"/>
        <v>100</v>
      </c>
      <c r="T58" s="228" t="s">
        <v>11</v>
      </c>
      <c r="V58" s="93"/>
      <c r="W58" s="93"/>
      <c r="X58" s="93"/>
      <c r="Y58" s="93"/>
      <c r="Z58" s="93"/>
      <c r="AA58" s="93"/>
    </row>
    <row r="59" spans="1:27" ht="15" customHeight="1">
      <c r="A59" s="224"/>
      <c r="B59" s="224">
        <v>4298</v>
      </c>
      <c r="C59" s="224">
        <v>3635</v>
      </c>
      <c r="D59" s="224">
        <v>6119</v>
      </c>
      <c r="E59" s="99">
        <v>8</v>
      </c>
      <c r="F59" s="225" t="s">
        <v>12</v>
      </c>
      <c r="G59" s="108"/>
      <c r="H59" s="120">
        <v>0</v>
      </c>
      <c r="I59" s="120"/>
      <c r="J59" s="120"/>
      <c r="K59" s="120"/>
      <c r="L59" s="120"/>
      <c r="M59" s="120"/>
      <c r="N59" s="120"/>
      <c r="O59" s="120">
        <v>0</v>
      </c>
      <c r="P59" s="120">
        <v>19200</v>
      </c>
      <c r="Q59" s="120">
        <f>O59+P59</f>
        <v>19200</v>
      </c>
      <c r="R59" s="120">
        <v>0</v>
      </c>
      <c r="S59" s="120">
        <f t="shared" si="5"/>
        <v>0</v>
      </c>
      <c r="T59" s="226"/>
      <c r="V59" s="93"/>
      <c r="W59" s="93"/>
      <c r="X59" s="93"/>
      <c r="Y59" s="93"/>
      <c r="Z59" s="93"/>
      <c r="AA59" s="93"/>
    </row>
    <row r="60" spans="1:27" ht="15" customHeight="1">
      <c r="A60" s="224">
        <v>4285</v>
      </c>
      <c r="B60" s="224">
        <f>A60</f>
        <v>4285</v>
      </c>
      <c r="C60" s="224">
        <v>3635</v>
      </c>
      <c r="D60" s="224">
        <v>6119</v>
      </c>
      <c r="E60" s="224">
        <v>9</v>
      </c>
      <c r="F60" s="225" t="s">
        <v>13</v>
      </c>
      <c r="G60" s="108">
        <v>0.5</v>
      </c>
      <c r="H60" s="120">
        <f>G60*1000000</f>
        <v>500000</v>
      </c>
      <c r="I60" s="120"/>
      <c r="J60" s="120"/>
      <c r="K60" s="120"/>
      <c r="L60" s="120"/>
      <c r="M60" s="120"/>
      <c r="N60" s="120"/>
      <c r="O60" s="120">
        <f>H60+N60</f>
        <v>500000</v>
      </c>
      <c r="P60" s="120">
        <v>-19200</v>
      </c>
      <c r="Q60" s="120">
        <v>394800</v>
      </c>
      <c r="R60" s="120">
        <v>356400</v>
      </c>
      <c r="S60" s="120">
        <f t="shared" si="5"/>
        <v>90.27355623100304</v>
      </c>
      <c r="T60" s="226"/>
      <c r="V60" s="93"/>
      <c r="W60" s="93"/>
      <c r="X60" s="93"/>
      <c r="Y60" s="93"/>
      <c r="Z60" s="93"/>
      <c r="AA60" s="93"/>
    </row>
    <row r="61" spans="1:27" s="178" customFormat="1" ht="15" customHeight="1">
      <c r="A61" s="182">
        <v>5041</v>
      </c>
      <c r="B61" s="229">
        <f>A61</f>
        <v>5041</v>
      </c>
      <c r="C61" s="165">
        <v>3635</v>
      </c>
      <c r="D61" s="230">
        <v>6119</v>
      </c>
      <c r="E61" s="99">
        <v>10</v>
      </c>
      <c r="F61" s="184" t="s">
        <v>14</v>
      </c>
      <c r="G61" s="231">
        <v>1</v>
      </c>
      <c r="H61" s="181">
        <f>G61*1000000</f>
        <v>1000000</v>
      </c>
      <c r="I61" s="181"/>
      <c r="J61" s="181"/>
      <c r="K61" s="181"/>
      <c r="L61" s="181"/>
      <c r="M61" s="181"/>
      <c r="N61" s="181">
        <v>-138360</v>
      </c>
      <c r="O61" s="181">
        <f>H61+N61</f>
        <v>861640</v>
      </c>
      <c r="P61" s="181"/>
      <c r="Q61" s="120">
        <v>136592</v>
      </c>
      <c r="R61" s="181">
        <v>0</v>
      </c>
      <c r="S61" s="120">
        <f t="shared" si="5"/>
        <v>0</v>
      </c>
      <c r="T61" s="232"/>
      <c r="U61" s="185"/>
      <c r="V61" s="176"/>
      <c r="W61" s="177"/>
      <c r="X61" s="177"/>
      <c r="Y61" s="177"/>
      <c r="Z61" s="177"/>
      <c r="AA61" s="177"/>
    </row>
    <row r="62" spans="1:27" s="239" customFormat="1" ht="15" customHeight="1" thickBot="1">
      <c r="A62" s="233"/>
      <c r="B62" s="234">
        <v>5044</v>
      </c>
      <c r="C62" s="233">
        <v>3635</v>
      </c>
      <c r="D62" s="233">
        <v>6119</v>
      </c>
      <c r="E62" s="224">
        <v>11</v>
      </c>
      <c r="F62" s="214" t="s">
        <v>15</v>
      </c>
      <c r="G62" s="215"/>
      <c r="H62" s="235">
        <v>0</v>
      </c>
      <c r="I62" s="235"/>
      <c r="J62" s="235"/>
      <c r="K62" s="235"/>
      <c r="L62" s="235"/>
      <c r="M62" s="235"/>
      <c r="N62" s="235">
        <v>31360</v>
      </c>
      <c r="O62" s="235">
        <f>N62</f>
        <v>31360</v>
      </c>
      <c r="P62" s="235"/>
      <c r="Q62" s="120">
        <f>O62+P62</f>
        <v>31360</v>
      </c>
      <c r="R62" s="235">
        <v>31360</v>
      </c>
      <c r="S62" s="120">
        <f t="shared" si="5"/>
        <v>100</v>
      </c>
      <c r="T62" s="236"/>
      <c r="U62" s="237"/>
      <c r="V62" s="238"/>
      <c r="W62" s="237"/>
      <c r="X62" s="237"/>
      <c r="Y62" s="237"/>
      <c r="Z62" s="237"/>
      <c r="AA62" s="237"/>
    </row>
    <row r="63" spans="1:27" s="247" customFormat="1" ht="15" customHeight="1" thickBot="1">
      <c r="A63" s="240"/>
      <c r="B63" s="241"/>
      <c r="C63" s="242"/>
      <c r="D63" s="242"/>
      <c r="E63" s="242"/>
      <c r="F63" s="243" t="s">
        <v>979</v>
      </c>
      <c r="G63" s="244"/>
      <c r="H63" s="245">
        <f aca="true" t="shared" si="6" ref="H63:M63">SUM(H52:H61)</f>
        <v>8380000</v>
      </c>
      <c r="I63" s="245">
        <f t="shared" si="6"/>
        <v>0</v>
      </c>
      <c r="J63" s="245">
        <f t="shared" si="6"/>
        <v>0</v>
      </c>
      <c r="K63" s="245">
        <f t="shared" si="6"/>
        <v>0</v>
      </c>
      <c r="L63" s="245">
        <f t="shared" si="6"/>
        <v>0</v>
      </c>
      <c r="M63" s="245">
        <f t="shared" si="6"/>
        <v>0</v>
      </c>
      <c r="N63" s="245">
        <f>SUM(N52:N62)</f>
        <v>-1480000</v>
      </c>
      <c r="O63" s="245">
        <f>SUM(O52:O62)</f>
        <v>6900000</v>
      </c>
      <c r="P63" s="245">
        <f>SUM(P52:P62)</f>
        <v>-200000</v>
      </c>
      <c r="Q63" s="245">
        <f>SUM(Q52:Q62)</f>
        <v>6907552</v>
      </c>
      <c r="R63" s="245">
        <f>SUM(R52:R62)</f>
        <v>6713720</v>
      </c>
      <c r="S63" s="245">
        <f t="shared" si="5"/>
        <v>97.19391182288602</v>
      </c>
      <c r="T63" s="243"/>
      <c r="U63" s="240"/>
      <c r="V63" s="246"/>
      <c r="W63" s="240"/>
      <c r="X63" s="240"/>
      <c r="Y63" s="240"/>
      <c r="Z63" s="240"/>
      <c r="AA63" s="240"/>
    </row>
    <row r="64" spans="1:27" s="178" customFormat="1" ht="15" customHeight="1">
      <c r="A64" s="248"/>
      <c r="B64" s="249"/>
      <c r="C64" s="250"/>
      <c r="D64" s="250"/>
      <c r="E64" s="250"/>
      <c r="F64" s="251"/>
      <c r="G64" s="252"/>
      <c r="H64" s="253"/>
      <c r="I64" s="253"/>
      <c r="J64" s="253"/>
      <c r="K64" s="253"/>
      <c r="L64" s="253"/>
      <c r="M64" s="253"/>
      <c r="N64" s="253"/>
      <c r="O64" s="253"/>
      <c r="P64" s="253"/>
      <c r="Q64" s="253"/>
      <c r="R64" s="253"/>
      <c r="S64" s="253"/>
      <c r="T64" s="254"/>
      <c r="U64" s="185"/>
      <c r="V64" s="176"/>
      <c r="W64" s="177"/>
      <c r="X64" s="177"/>
      <c r="Y64" s="177"/>
      <c r="Z64" s="177"/>
      <c r="AA64" s="177"/>
    </row>
    <row r="65" spans="1:27" s="178" customFormat="1" ht="15" customHeight="1">
      <c r="A65" s="248"/>
      <c r="B65" s="249"/>
      <c r="C65" s="250"/>
      <c r="D65" s="250"/>
      <c r="E65" s="250"/>
      <c r="F65" s="251"/>
      <c r="G65" s="252"/>
      <c r="H65" s="253"/>
      <c r="I65" s="253"/>
      <c r="J65" s="253"/>
      <c r="K65" s="253"/>
      <c r="L65" s="253"/>
      <c r="M65" s="253"/>
      <c r="N65" s="253"/>
      <c r="O65" s="253"/>
      <c r="P65" s="253"/>
      <c r="Q65" s="253"/>
      <c r="R65" s="253"/>
      <c r="S65" s="253"/>
      <c r="T65" s="254"/>
      <c r="U65" s="185"/>
      <c r="V65" s="176"/>
      <c r="W65" s="177"/>
      <c r="X65" s="177"/>
      <c r="Y65" s="177"/>
      <c r="Z65" s="177"/>
      <c r="AA65" s="177"/>
    </row>
    <row r="66" spans="1:27" s="264" customFormat="1" ht="15" customHeight="1">
      <c r="A66" s="255" t="s">
        <v>16</v>
      </c>
      <c r="B66" s="256" t="s">
        <v>17</v>
      </c>
      <c r="C66" s="257"/>
      <c r="D66" s="257"/>
      <c r="E66" s="257"/>
      <c r="F66" s="258"/>
      <c r="G66" s="259"/>
      <c r="H66" s="260"/>
      <c r="I66" s="260"/>
      <c r="J66" s="260"/>
      <c r="K66" s="260"/>
      <c r="L66" s="260"/>
      <c r="M66" s="260"/>
      <c r="N66" s="260"/>
      <c r="O66" s="260"/>
      <c r="P66" s="260"/>
      <c r="Q66" s="260"/>
      <c r="R66" s="260"/>
      <c r="S66" s="260"/>
      <c r="T66" s="261"/>
      <c r="U66" s="255"/>
      <c r="V66" s="262"/>
      <c r="W66" s="263"/>
      <c r="X66" s="263"/>
      <c r="Y66" s="263"/>
      <c r="Z66" s="263"/>
      <c r="AA66" s="263"/>
    </row>
    <row r="67" spans="1:27" s="178" customFormat="1" ht="15" customHeight="1" thickBot="1">
      <c r="A67" s="182">
        <v>4711</v>
      </c>
      <c r="B67" s="182">
        <v>4711</v>
      </c>
      <c r="C67" s="182">
        <v>3636</v>
      </c>
      <c r="D67" s="265">
        <v>6119</v>
      </c>
      <c r="E67" s="265">
        <v>1</v>
      </c>
      <c r="F67" s="266" t="s">
        <v>18</v>
      </c>
      <c r="G67" s="267">
        <v>0.75</v>
      </c>
      <c r="H67" s="181">
        <f>G67*1000000</f>
        <v>750000</v>
      </c>
      <c r="I67" s="181"/>
      <c r="J67" s="181"/>
      <c r="K67" s="181"/>
      <c r="L67" s="181"/>
      <c r="M67" s="181"/>
      <c r="N67" s="181"/>
      <c r="O67" s="181">
        <v>750000</v>
      </c>
      <c r="P67" s="181"/>
      <c r="Q67" s="181">
        <f>O67+P67</f>
        <v>750000</v>
      </c>
      <c r="R67" s="181">
        <v>0</v>
      </c>
      <c r="S67" s="181">
        <v>0</v>
      </c>
      <c r="T67" s="268"/>
      <c r="U67" s="185"/>
      <c r="V67" s="176"/>
      <c r="W67" s="177"/>
      <c r="X67" s="177"/>
      <c r="Y67" s="177"/>
      <c r="Z67" s="177"/>
      <c r="AA67" s="177"/>
    </row>
    <row r="68" spans="1:27" s="247" customFormat="1" ht="15" customHeight="1" thickBot="1">
      <c r="A68" s="240"/>
      <c r="B68" s="241"/>
      <c r="C68" s="242"/>
      <c r="D68" s="242"/>
      <c r="E68" s="242"/>
      <c r="F68" s="269" t="s">
        <v>979</v>
      </c>
      <c r="G68" s="244"/>
      <c r="H68" s="245">
        <f>H67</f>
        <v>750000</v>
      </c>
      <c r="I68" s="245"/>
      <c r="J68" s="245"/>
      <c r="K68" s="245"/>
      <c r="L68" s="245">
        <f>L67</f>
        <v>0</v>
      </c>
      <c r="M68" s="245"/>
      <c r="N68" s="245"/>
      <c r="O68" s="245">
        <f>O67</f>
        <v>750000</v>
      </c>
      <c r="P68" s="245">
        <f>P67</f>
        <v>0</v>
      </c>
      <c r="Q68" s="245">
        <f>Q67</f>
        <v>750000</v>
      </c>
      <c r="R68" s="245">
        <v>0</v>
      </c>
      <c r="S68" s="245">
        <v>0</v>
      </c>
      <c r="T68" s="243"/>
      <c r="U68" s="240"/>
      <c r="V68" s="246"/>
      <c r="W68" s="240"/>
      <c r="X68" s="240"/>
      <c r="Y68" s="240"/>
      <c r="Z68" s="240"/>
      <c r="AA68" s="240"/>
    </row>
    <row r="69" spans="1:27" s="178" customFormat="1" ht="15" customHeight="1">
      <c r="A69" s="248"/>
      <c r="B69" s="249"/>
      <c r="C69" s="250"/>
      <c r="D69" s="250"/>
      <c r="E69" s="250"/>
      <c r="F69" s="270"/>
      <c r="G69" s="252"/>
      <c r="H69" s="253"/>
      <c r="I69" s="253"/>
      <c r="J69" s="253"/>
      <c r="K69" s="253"/>
      <c r="L69" s="253"/>
      <c r="M69" s="253"/>
      <c r="N69" s="253"/>
      <c r="O69" s="253"/>
      <c r="P69" s="253"/>
      <c r="Q69" s="253"/>
      <c r="R69" s="253"/>
      <c r="S69" s="253"/>
      <c r="T69" s="254"/>
      <c r="U69" s="185"/>
      <c r="V69" s="176"/>
      <c r="W69" s="177"/>
      <c r="X69" s="177"/>
      <c r="Y69" s="177"/>
      <c r="Z69" s="177"/>
      <c r="AA69" s="177"/>
    </row>
    <row r="70" spans="1:27" s="178" customFormat="1" ht="15" customHeight="1">
      <c r="A70" s="248"/>
      <c r="B70" s="249"/>
      <c r="C70" s="250"/>
      <c r="D70" s="250"/>
      <c r="E70" s="250"/>
      <c r="F70" s="251"/>
      <c r="G70" s="252"/>
      <c r="H70" s="253"/>
      <c r="I70" s="253"/>
      <c r="J70" s="253"/>
      <c r="K70" s="253"/>
      <c r="L70" s="253"/>
      <c r="M70" s="253"/>
      <c r="N70" s="253"/>
      <c r="O70" s="253"/>
      <c r="P70" s="253"/>
      <c r="Q70" s="253"/>
      <c r="R70" s="253"/>
      <c r="S70" s="253"/>
      <c r="T70" s="254"/>
      <c r="U70" s="185"/>
      <c r="V70" s="176"/>
      <c r="W70" s="177"/>
      <c r="X70" s="177"/>
      <c r="Y70" s="177"/>
      <c r="Z70" s="177"/>
      <c r="AA70" s="177"/>
    </row>
    <row r="71" spans="1:27" s="178" customFormat="1" ht="15" customHeight="1">
      <c r="A71" s="255" t="s">
        <v>16</v>
      </c>
      <c r="B71" s="256" t="s">
        <v>19</v>
      </c>
      <c r="C71" s="257"/>
      <c r="D71" s="257"/>
      <c r="E71" s="257"/>
      <c r="F71" s="258"/>
      <c r="G71" s="259"/>
      <c r="H71" s="260"/>
      <c r="I71" s="260"/>
      <c r="J71" s="260"/>
      <c r="K71" s="260"/>
      <c r="L71" s="260"/>
      <c r="M71" s="260"/>
      <c r="N71" s="260"/>
      <c r="O71" s="260"/>
      <c r="P71" s="260"/>
      <c r="Q71" s="260"/>
      <c r="R71" s="260"/>
      <c r="S71" s="260"/>
      <c r="T71" s="261"/>
      <c r="U71" s="185"/>
      <c r="V71" s="176"/>
      <c r="W71" s="177"/>
      <c r="X71" s="177"/>
      <c r="Y71" s="177"/>
      <c r="Z71" s="177"/>
      <c r="AA71" s="177"/>
    </row>
    <row r="72" spans="1:27" s="272" customFormat="1" ht="15" customHeight="1">
      <c r="A72" s="271"/>
      <c r="B72" s="99">
        <v>5107</v>
      </c>
      <c r="C72" s="99">
        <v>3419</v>
      </c>
      <c r="D72" s="99">
        <v>6322</v>
      </c>
      <c r="E72" s="99">
        <v>1</v>
      </c>
      <c r="F72" s="227" t="s">
        <v>20</v>
      </c>
      <c r="G72" s="103"/>
      <c r="H72" s="120">
        <v>0</v>
      </c>
      <c r="I72" s="120"/>
      <c r="J72" s="120"/>
      <c r="K72" s="120"/>
      <c r="L72" s="120"/>
      <c r="M72" s="120"/>
      <c r="N72" s="120"/>
      <c r="O72" s="120">
        <v>50000</v>
      </c>
      <c r="P72" s="120"/>
      <c r="Q72" s="120">
        <f>O72+P72</f>
        <v>50000</v>
      </c>
      <c r="R72" s="120">
        <v>50000</v>
      </c>
      <c r="S72" s="120">
        <f aca="true" t="shared" si="7" ref="S72:S88">R72/Q72*100</f>
        <v>100</v>
      </c>
      <c r="T72" s="105" t="s">
        <v>53</v>
      </c>
      <c r="U72" s="271"/>
      <c r="V72" s="189"/>
      <c r="W72" s="271"/>
      <c r="X72" s="271"/>
      <c r="Y72" s="271"/>
      <c r="Z72" s="271"/>
      <c r="AA72" s="271"/>
    </row>
    <row r="73" spans="1:27" s="272" customFormat="1" ht="15" customHeight="1">
      <c r="A73" s="271"/>
      <c r="B73" s="99">
        <v>5099</v>
      </c>
      <c r="C73" s="99">
        <v>4359</v>
      </c>
      <c r="D73" s="99">
        <v>6313</v>
      </c>
      <c r="E73" s="99">
        <v>2</v>
      </c>
      <c r="F73" s="227" t="s">
        <v>21</v>
      </c>
      <c r="G73" s="103"/>
      <c r="H73" s="120">
        <v>0</v>
      </c>
      <c r="I73" s="120"/>
      <c r="J73" s="120"/>
      <c r="K73" s="120"/>
      <c r="L73" s="120"/>
      <c r="M73" s="120"/>
      <c r="N73" s="120"/>
      <c r="O73" s="120">
        <v>55000</v>
      </c>
      <c r="P73" s="120"/>
      <c r="Q73" s="120">
        <f>O73+P73</f>
        <v>55000</v>
      </c>
      <c r="R73" s="120">
        <v>55000</v>
      </c>
      <c r="S73" s="120">
        <f t="shared" si="7"/>
        <v>100</v>
      </c>
      <c r="T73" s="105" t="s">
        <v>22</v>
      </c>
      <c r="U73" s="271"/>
      <c r="V73" s="189"/>
      <c r="W73" s="271"/>
      <c r="X73" s="271"/>
      <c r="Y73" s="271"/>
      <c r="Z73" s="271"/>
      <c r="AA73" s="271"/>
    </row>
    <row r="74" spans="1:27" s="272" customFormat="1" ht="15" customHeight="1">
      <c r="A74" s="271"/>
      <c r="B74" s="99">
        <v>5117</v>
      </c>
      <c r="C74" s="99">
        <v>3421</v>
      </c>
      <c r="D74" s="99">
        <v>6322</v>
      </c>
      <c r="E74" s="99">
        <v>3</v>
      </c>
      <c r="F74" s="227" t="s">
        <v>23</v>
      </c>
      <c r="G74" s="103"/>
      <c r="H74" s="120">
        <v>0</v>
      </c>
      <c r="I74" s="120"/>
      <c r="J74" s="120"/>
      <c r="K74" s="120"/>
      <c r="L74" s="120"/>
      <c r="M74" s="120"/>
      <c r="N74" s="120"/>
      <c r="O74" s="120"/>
      <c r="P74" s="120"/>
      <c r="Q74" s="120">
        <v>1000000</v>
      </c>
      <c r="R74" s="120">
        <v>1000000</v>
      </c>
      <c r="S74" s="120">
        <f t="shared" si="7"/>
        <v>100</v>
      </c>
      <c r="T74" s="105" t="s">
        <v>53</v>
      </c>
      <c r="U74" s="271"/>
      <c r="V74" s="189"/>
      <c r="W74" s="271"/>
      <c r="X74" s="271"/>
      <c r="Y74" s="271"/>
      <c r="Z74" s="271"/>
      <c r="AA74" s="271"/>
    </row>
    <row r="75" spans="1:27" s="272" customFormat="1" ht="15" customHeight="1">
      <c r="A75" s="271"/>
      <c r="B75" s="99">
        <v>5182</v>
      </c>
      <c r="C75" s="99">
        <v>3113</v>
      </c>
      <c r="D75" s="99">
        <v>6351</v>
      </c>
      <c r="E75" s="99">
        <v>4</v>
      </c>
      <c r="F75" s="227" t="s">
        <v>753</v>
      </c>
      <c r="G75" s="103"/>
      <c r="H75" s="120">
        <v>0</v>
      </c>
      <c r="I75" s="120"/>
      <c r="J75" s="120"/>
      <c r="K75" s="120"/>
      <c r="L75" s="120"/>
      <c r="M75" s="120"/>
      <c r="N75" s="120"/>
      <c r="O75" s="120"/>
      <c r="P75" s="120"/>
      <c r="Q75" s="120">
        <v>9750</v>
      </c>
      <c r="R75" s="120">
        <v>9750</v>
      </c>
      <c r="S75" s="120">
        <f t="shared" si="7"/>
        <v>100</v>
      </c>
      <c r="T75" s="105" t="s">
        <v>751</v>
      </c>
      <c r="U75" s="271"/>
      <c r="V75" s="189"/>
      <c r="W75" s="271"/>
      <c r="X75" s="271"/>
      <c r="Y75" s="271"/>
      <c r="Z75" s="271"/>
      <c r="AA75" s="271"/>
    </row>
    <row r="76" spans="1:27" s="272" customFormat="1" ht="15" customHeight="1">
      <c r="A76" s="271"/>
      <c r="B76" s="99">
        <v>5182</v>
      </c>
      <c r="C76" s="99">
        <v>3113</v>
      </c>
      <c r="D76" s="99">
        <v>6351</v>
      </c>
      <c r="E76" s="99">
        <v>5</v>
      </c>
      <c r="F76" s="227" t="s">
        <v>753</v>
      </c>
      <c r="G76" s="103"/>
      <c r="H76" s="120"/>
      <c r="I76" s="120"/>
      <c r="J76" s="120"/>
      <c r="K76" s="120"/>
      <c r="L76" s="120"/>
      <c r="M76" s="120"/>
      <c r="N76" s="120"/>
      <c r="O76" s="120"/>
      <c r="P76" s="120"/>
      <c r="Q76" s="120">
        <v>55250</v>
      </c>
      <c r="R76" s="120">
        <v>55250</v>
      </c>
      <c r="S76" s="120">
        <f t="shared" si="7"/>
        <v>100</v>
      </c>
      <c r="T76" s="105" t="s">
        <v>752</v>
      </c>
      <c r="U76" s="271"/>
      <c r="V76" s="189"/>
      <c r="W76" s="271"/>
      <c r="X76" s="271"/>
      <c r="Y76" s="271"/>
      <c r="Z76" s="271"/>
      <c r="AA76" s="271"/>
    </row>
    <row r="77" spans="1:27" s="164" customFormat="1" ht="15" customHeight="1">
      <c r="A77" s="99">
        <v>4711</v>
      </c>
      <c r="B77" s="99">
        <v>5086</v>
      </c>
      <c r="C77" s="99">
        <v>3113</v>
      </c>
      <c r="D77" s="99">
        <v>6351</v>
      </c>
      <c r="E77" s="99">
        <v>6</v>
      </c>
      <c r="F77" s="273" t="s">
        <v>24</v>
      </c>
      <c r="G77" s="108">
        <v>0.75</v>
      </c>
      <c r="H77" s="120">
        <v>0</v>
      </c>
      <c r="I77" s="120">
        <v>328000</v>
      </c>
      <c r="J77" s="120"/>
      <c r="K77" s="120"/>
      <c r="L77" s="120"/>
      <c r="M77" s="120"/>
      <c r="N77" s="120"/>
      <c r="O77" s="120">
        <v>328800</v>
      </c>
      <c r="P77" s="120"/>
      <c r="Q77" s="120">
        <f>O77+P77</f>
        <v>328800</v>
      </c>
      <c r="R77" s="120">
        <v>328800</v>
      </c>
      <c r="S77" s="120">
        <f t="shared" si="7"/>
        <v>100</v>
      </c>
      <c r="T77" s="137" t="s">
        <v>437</v>
      </c>
      <c r="U77" s="163"/>
      <c r="V77" s="163"/>
      <c r="W77" s="163"/>
      <c r="X77" s="163"/>
      <c r="Y77" s="163"/>
      <c r="Z77" s="163"/>
      <c r="AA77" s="163"/>
    </row>
    <row r="78" spans="1:27" s="114" customFormat="1" ht="15" customHeight="1">
      <c r="A78" s="165"/>
      <c r="B78" s="99">
        <v>5095</v>
      </c>
      <c r="C78" s="99">
        <v>3113</v>
      </c>
      <c r="D78" s="99">
        <v>6351</v>
      </c>
      <c r="E78" s="99">
        <v>7</v>
      </c>
      <c r="F78" s="273" t="s">
        <v>25</v>
      </c>
      <c r="G78" s="108"/>
      <c r="H78" s="120">
        <v>0</v>
      </c>
      <c r="I78" s="120"/>
      <c r="J78" s="120"/>
      <c r="K78" s="120"/>
      <c r="L78" s="120">
        <v>57024</v>
      </c>
      <c r="M78" s="120"/>
      <c r="N78" s="120"/>
      <c r="O78" s="120">
        <f>L78</f>
        <v>57024</v>
      </c>
      <c r="P78" s="120"/>
      <c r="Q78" s="120">
        <f>O78+P78</f>
        <v>57024</v>
      </c>
      <c r="R78" s="120">
        <v>57024</v>
      </c>
      <c r="S78" s="120">
        <f t="shared" si="7"/>
        <v>100</v>
      </c>
      <c r="T78" s="137" t="s">
        <v>437</v>
      </c>
      <c r="U78" s="92"/>
      <c r="V78" s="92"/>
      <c r="W78" s="92"/>
      <c r="X78" s="92"/>
      <c r="Y78" s="92"/>
      <c r="Z78" s="92"/>
      <c r="AA78" s="92"/>
    </row>
    <row r="79" spans="1:27" s="114" customFormat="1" ht="15" customHeight="1">
      <c r="A79" s="165"/>
      <c r="B79" s="99">
        <v>5134</v>
      </c>
      <c r="C79" s="99">
        <v>3113</v>
      </c>
      <c r="D79" s="99">
        <v>6351</v>
      </c>
      <c r="E79" s="99">
        <v>8</v>
      </c>
      <c r="F79" s="273" t="s">
        <v>26</v>
      </c>
      <c r="G79" s="108"/>
      <c r="H79" s="120">
        <v>0</v>
      </c>
      <c r="I79" s="120"/>
      <c r="J79" s="120"/>
      <c r="K79" s="120"/>
      <c r="L79" s="120"/>
      <c r="M79" s="120"/>
      <c r="N79" s="120"/>
      <c r="O79" s="120"/>
      <c r="P79" s="120"/>
      <c r="Q79" s="120">
        <v>50000</v>
      </c>
      <c r="R79" s="120">
        <v>50000</v>
      </c>
      <c r="S79" s="120">
        <f t="shared" si="7"/>
        <v>100</v>
      </c>
      <c r="T79" s="137" t="s">
        <v>437</v>
      </c>
      <c r="U79" s="92"/>
      <c r="V79" s="92"/>
      <c r="W79" s="92"/>
      <c r="X79" s="92"/>
      <c r="Y79" s="92"/>
      <c r="Z79" s="92"/>
      <c r="AA79" s="92"/>
    </row>
    <row r="80" spans="1:27" s="114" customFormat="1" ht="15" customHeight="1">
      <c r="A80" s="182"/>
      <c r="B80" s="182">
        <v>5100</v>
      </c>
      <c r="C80" s="182">
        <v>3113</v>
      </c>
      <c r="D80" s="265">
        <v>6351</v>
      </c>
      <c r="E80" s="99">
        <v>9</v>
      </c>
      <c r="F80" s="266" t="s">
        <v>27</v>
      </c>
      <c r="G80" s="267"/>
      <c r="H80" s="181">
        <v>0</v>
      </c>
      <c r="I80" s="181"/>
      <c r="J80" s="181"/>
      <c r="K80" s="181"/>
      <c r="L80" s="181"/>
      <c r="M80" s="181"/>
      <c r="N80" s="181">
        <v>150000</v>
      </c>
      <c r="O80" s="181">
        <f>N80</f>
        <v>150000</v>
      </c>
      <c r="P80" s="181"/>
      <c r="Q80" s="120">
        <f>O80+P80</f>
        <v>150000</v>
      </c>
      <c r="R80" s="181">
        <v>150000</v>
      </c>
      <c r="S80" s="120">
        <f t="shared" si="7"/>
        <v>100</v>
      </c>
      <c r="T80" s="268" t="s">
        <v>437</v>
      </c>
      <c r="U80" s="92"/>
      <c r="V80" s="92"/>
      <c r="W80" s="92"/>
      <c r="X80" s="92"/>
      <c r="Y80" s="92"/>
      <c r="Z80" s="92"/>
      <c r="AA80" s="92"/>
    </row>
    <row r="81" spans="1:27" s="114" customFormat="1" ht="15" customHeight="1">
      <c r="A81" s="182"/>
      <c r="B81" s="182">
        <v>5113</v>
      </c>
      <c r="C81" s="182">
        <v>3113</v>
      </c>
      <c r="D81" s="265">
        <v>6351</v>
      </c>
      <c r="E81" s="99">
        <v>10</v>
      </c>
      <c r="F81" s="266" t="s">
        <v>934</v>
      </c>
      <c r="G81" s="267"/>
      <c r="H81" s="181">
        <v>0</v>
      </c>
      <c r="I81" s="181"/>
      <c r="J81" s="181"/>
      <c r="K81" s="181"/>
      <c r="L81" s="181"/>
      <c r="M81" s="181"/>
      <c r="N81" s="181"/>
      <c r="O81" s="181">
        <v>0</v>
      </c>
      <c r="P81" s="181">
        <v>600000</v>
      </c>
      <c r="Q81" s="120">
        <f>O81+P81</f>
        <v>600000</v>
      </c>
      <c r="R81" s="181">
        <v>600000</v>
      </c>
      <c r="S81" s="120">
        <f t="shared" si="7"/>
        <v>100</v>
      </c>
      <c r="T81" s="268" t="s">
        <v>437</v>
      </c>
      <c r="U81" s="92"/>
      <c r="V81" s="92"/>
      <c r="W81" s="92"/>
      <c r="X81" s="92"/>
      <c r="Y81" s="92"/>
      <c r="Z81" s="92"/>
      <c r="AA81" s="92"/>
    </row>
    <row r="82" spans="1:27" s="114" customFormat="1" ht="15" customHeight="1">
      <c r="A82" s="182"/>
      <c r="B82" s="182">
        <v>5120</v>
      </c>
      <c r="C82" s="182">
        <v>3113</v>
      </c>
      <c r="D82" s="265">
        <v>6351</v>
      </c>
      <c r="E82" s="99">
        <v>11</v>
      </c>
      <c r="F82" s="266" t="s">
        <v>935</v>
      </c>
      <c r="G82" s="267"/>
      <c r="H82" s="181">
        <v>0</v>
      </c>
      <c r="I82" s="181"/>
      <c r="J82" s="181"/>
      <c r="K82" s="181"/>
      <c r="L82" s="181"/>
      <c r="M82" s="181"/>
      <c r="N82" s="181"/>
      <c r="O82" s="181"/>
      <c r="P82" s="181"/>
      <c r="Q82" s="120">
        <v>250000</v>
      </c>
      <c r="R82" s="181">
        <v>250000</v>
      </c>
      <c r="S82" s="120">
        <f t="shared" si="7"/>
        <v>100</v>
      </c>
      <c r="T82" s="268" t="s">
        <v>437</v>
      </c>
      <c r="U82" s="92"/>
      <c r="V82" s="92"/>
      <c r="W82" s="92"/>
      <c r="X82" s="92"/>
      <c r="Y82" s="92"/>
      <c r="Z82" s="92"/>
      <c r="AA82" s="92"/>
    </row>
    <row r="83" spans="1:27" s="114" customFormat="1" ht="15" customHeight="1">
      <c r="A83" s="182"/>
      <c r="B83" s="182">
        <v>5104</v>
      </c>
      <c r="C83" s="182">
        <v>3113</v>
      </c>
      <c r="D83" s="265">
        <v>6351</v>
      </c>
      <c r="E83" s="99">
        <v>12</v>
      </c>
      <c r="F83" s="266" t="s">
        <v>936</v>
      </c>
      <c r="G83" s="267"/>
      <c r="H83" s="181">
        <v>0</v>
      </c>
      <c r="I83" s="181"/>
      <c r="J83" s="181"/>
      <c r="K83" s="181"/>
      <c r="L83" s="181"/>
      <c r="M83" s="181"/>
      <c r="N83" s="181">
        <v>55136</v>
      </c>
      <c r="O83" s="181">
        <f>N83</f>
        <v>55136</v>
      </c>
      <c r="P83" s="181"/>
      <c r="Q83" s="120">
        <f>O83+P83</f>
        <v>55136</v>
      </c>
      <c r="R83" s="181">
        <v>55136</v>
      </c>
      <c r="S83" s="120">
        <f t="shared" si="7"/>
        <v>100</v>
      </c>
      <c r="T83" s="268" t="s">
        <v>437</v>
      </c>
      <c r="U83" s="92"/>
      <c r="V83" s="92"/>
      <c r="W83" s="92"/>
      <c r="X83" s="92"/>
      <c r="Y83" s="92"/>
      <c r="Z83" s="92"/>
      <c r="AA83" s="92"/>
    </row>
    <row r="84" spans="1:27" s="114" customFormat="1" ht="15" customHeight="1">
      <c r="A84" s="182"/>
      <c r="B84" s="182">
        <v>5114</v>
      </c>
      <c r="C84" s="182">
        <v>3113</v>
      </c>
      <c r="D84" s="265">
        <v>6351</v>
      </c>
      <c r="E84" s="99">
        <v>13</v>
      </c>
      <c r="F84" s="266" t="s">
        <v>937</v>
      </c>
      <c r="G84" s="267"/>
      <c r="H84" s="181">
        <v>0</v>
      </c>
      <c r="I84" s="181"/>
      <c r="J84" s="181"/>
      <c r="K84" s="181"/>
      <c r="L84" s="181"/>
      <c r="M84" s="181"/>
      <c r="N84" s="181"/>
      <c r="O84" s="181">
        <v>0</v>
      </c>
      <c r="P84" s="181">
        <v>100000</v>
      </c>
      <c r="Q84" s="120">
        <f>O84+P84</f>
        <v>100000</v>
      </c>
      <c r="R84" s="181">
        <v>100000</v>
      </c>
      <c r="S84" s="120">
        <f t="shared" si="7"/>
        <v>100</v>
      </c>
      <c r="T84" s="268" t="s">
        <v>437</v>
      </c>
      <c r="U84" s="92"/>
      <c r="V84" s="92"/>
      <c r="W84" s="92"/>
      <c r="X84" s="92"/>
      <c r="Y84" s="92"/>
      <c r="Z84" s="92"/>
      <c r="AA84" s="92"/>
    </row>
    <row r="85" spans="1:27" s="114" customFormat="1" ht="15" customHeight="1">
      <c r="A85" s="182"/>
      <c r="B85" s="182">
        <v>5092</v>
      </c>
      <c r="C85" s="182">
        <v>4359</v>
      </c>
      <c r="D85" s="265">
        <v>6322</v>
      </c>
      <c r="E85" s="99">
        <v>14</v>
      </c>
      <c r="F85" s="266" t="s">
        <v>938</v>
      </c>
      <c r="G85" s="267"/>
      <c r="H85" s="181">
        <v>0</v>
      </c>
      <c r="I85" s="181"/>
      <c r="J85" s="181"/>
      <c r="K85" s="181">
        <v>75000</v>
      </c>
      <c r="L85" s="181"/>
      <c r="M85" s="181"/>
      <c r="N85" s="181"/>
      <c r="O85" s="181">
        <f>K85</f>
        <v>75000</v>
      </c>
      <c r="P85" s="181"/>
      <c r="Q85" s="120">
        <f>O85+P85</f>
        <v>75000</v>
      </c>
      <c r="R85" s="181">
        <v>75000</v>
      </c>
      <c r="S85" s="120">
        <f t="shared" si="7"/>
        <v>100</v>
      </c>
      <c r="T85" s="268" t="s">
        <v>22</v>
      </c>
      <c r="U85" s="92"/>
      <c r="V85" s="92"/>
      <c r="W85" s="92"/>
      <c r="X85" s="92"/>
      <c r="Y85" s="92"/>
      <c r="Z85" s="92"/>
      <c r="AA85" s="92"/>
    </row>
    <row r="86" spans="1:27" s="211" customFormat="1" ht="15" customHeight="1">
      <c r="A86" s="182"/>
      <c r="B86" s="182">
        <v>34975</v>
      </c>
      <c r="C86" s="182">
        <v>5311</v>
      </c>
      <c r="D86" s="182">
        <v>6313</v>
      </c>
      <c r="E86" s="99">
        <v>15</v>
      </c>
      <c r="F86" s="266" t="s">
        <v>939</v>
      </c>
      <c r="G86" s="267"/>
      <c r="H86" s="181">
        <v>0</v>
      </c>
      <c r="I86" s="181"/>
      <c r="J86" s="181">
        <v>40000</v>
      </c>
      <c r="K86" s="181"/>
      <c r="L86" s="181"/>
      <c r="M86" s="181"/>
      <c r="N86" s="181"/>
      <c r="O86" s="181">
        <v>40000</v>
      </c>
      <c r="P86" s="181"/>
      <c r="Q86" s="181">
        <f>O86+P86</f>
        <v>40000</v>
      </c>
      <c r="R86" s="181">
        <v>40000</v>
      </c>
      <c r="S86" s="181">
        <f t="shared" si="7"/>
        <v>100</v>
      </c>
      <c r="T86" s="268" t="s">
        <v>22</v>
      </c>
      <c r="U86" s="210"/>
      <c r="V86" s="210"/>
      <c r="W86" s="210"/>
      <c r="X86" s="210"/>
      <c r="Y86" s="210"/>
      <c r="Z86" s="210"/>
      <c r="AA86" s="210"/>
    </row>
    <row r="87" spans="1:27" s="211" customFormat="1" ht="15" customHeight="1" thickBot="1">
      <c r="A87" s="182"/>
      <c r="B87" s="182">
        <v>5158</v>
      </c>
      <c r="C87" s="182">
        <v>3741</v>
      </c>
      <c r="D87" s="182">
        <v>6351</v>
      </c>
      <c r="E87" s="99">
        <v>16</v>
      </c>
      <c r="F87" s="266" t="s">
        <v>750</v>
      </c>
      <c r="G87" s="267"/>
      <c r="H87" s="181">
        <v>0</v>
      </c>
      <c r="I87" s="181"/>
      <c r="J87" s="181"/>
      <c r="K87" s="181"/>
      <c r="L87" s="181"/>
      <c r="M87" s="181"/>
      <c r="N87" s="181"/>
      <c r="O87" s="181"/>
      <c r="P87" s="181"/>
      <c r="Q87" s="181">
        <v>3000000</v>
      </c>
      <c r="R87" s="181">
        <v>3000000</v>
      </c>
      <c r="S87" s="181">
        <v>100</v>
      </c>
      <c r="T87" s="268" t="s">
        <v>448</v>
      </c>
      <c r="U87" s="210"/>
      <c r="V87" s="210"/>
      <c r="W87" s="210"/>
      <c r="X87" s="210"/>
      <c r="Y87" s="210"/>
      <c r="Z87" s="210"/>
      <c r="AA87" s="210"/>
    </row>
    <row r="88" spans="1:27" s="149" customFormat="1" ht="15" customHeight="1" thickBot="1">
      <c r="A88" s="240"/>
      <c r="B88" s="241"/>
      <c r="C88" s="242"/>
      <c r="D88" s="242"/>
      <c r="E88" s="242"/>
      <c r="F88" s="269" t="s">
        <v>979</v>
      </c>
      <c r="G88" s="244"/>
      <c r="H88" s="245">
        <f>H77</f>
        <v>0</v>
      </c>
      <c r="I88" s="245">
        <f aca="true" t="shared" si="8" ref="I88:N88">SUM(I77:I86)</f>
        <v>328000</v>
      </c>
      <c r="J88" s="245">
        <f t="shared" si="8"/>
        <v>40000</v>
      </c>
      <c r="K88" s="245">
        <f t="shared" si="8"/>
        <v>75000</v>
      </c>
      <c r="L88" s="245">
        <f t="shared" si="8"/>
        <v>57024</v>
      </c>
      <c r="M88" s="245">
        <f t="shared" si="8"/>
        <v>0</v>
      </c>
      <c r="N88" s="245">
        <f t="shared" si="8"/>
        <v>205136</v>
      </c>
      <c r="O88" s="245">
        <f>SUM(O72:O86)</f>
        <v>810960</v>
      </c>
      <c r="P88" s="245">
        <f>SUM(P72:P86)</f>
        <v>700000</v>
      </c>
      <c r="Q88" s="245">
        <f>SUM(Q72:Q87)</f>
        <v>5875960</v>
      </c>
      <c r="R88" s="245">
        <f>SUM(R72:R87)</f>
        <v>5875960</v>
      </c>
      <c r="S88" s="245">
        <f t="shared" si="7"/>
        <v>100</v>
      </c>
      <c r="T88" s="243"/>
      <c r="U88" s="148"/>
      <c r="V88" s="148"/>
      <c r="W88" s="148"/>
      <c r="X88" s="148"/>
      <c r="Y88" s="148"/>
      <c r="Z88" s="148"/>
      <c r="AA88" s="148"/>
    </row>
    <row r="89" spans="22:27" ht="12.75">
      <c r="V89" s="93"/>
      <c r="W89" s="93"/>
      <c r="X89" s="93"/>
      <c r="Y89" s="93"/>
      <c r="Z89" s="93"/>
      <c r="AA89" s="93"/>
    </row>
  </sheetData>
  <printOptions/>
  <pageMargins left="0.29" right="0.17" top="0.72" bottom="0.99" header="0.5118110236220472" footer="0.32"/>
  <pageSetup firstPageNumber="7" useFirstPageNumber="1" horizontalDpi="300" verticalDpi="300" orientation="landscape" paperSize="9" scale="80" r:id="rId2"/>
  <headerFooter alignWithMargins="0">
    <oddHeader>&amp;Lv Kč&amp;C&amp;"Arial,Tučné"Schválený rozpočet investičních akcí na rok 2010 - individuální příslib</oddHeader>
    <oddFooter>&amp;C&amp;8&amp;P</oddFooter>
  </headerFooter>
  <rowBreaks count="2" manualBreakCount="2">
    <brk id="37" min="1" max="19" man="1"/>
    <brk id="65" min="1" max="19" man="1"/>
  </rowBreaks>
  <drawing r:id="rId1"/>
</worksheet>
</file>

<file path=xl/worksheets/sheet27.xml><?xml version="1.0" encoding="utf-8"?>
<worksheet xmlns="http://schemas.openxmlformats.org/spreadsheetml/2006/main" xmlns:r="http://schemas.openxmlformats.org/officeDocument/2006/relationships">
  <sheetPr>
    <tabColor indexed="42"/>
  </sheetPr>
  <dimension ref="A2:V14"/>
  <sheetViews>
    <sheetView zoomScaleSheetLayoutView="100" workbookViewId="0" topLeftCell="A1">
      <pane xSplit="6" ySplit="2" topLeftCell="H3" activePane="bottomRight" state="frozen"/>
      <selection pane="topLeft" activeCell="A1" sqref="A1"/>
      <selection pane="topRight" activeCell="C1" sqref="C1"/>
      <selection pane="bottomLeft" activeCell="A3" sqref="A3"/>
      <selection pane="bottomRight" activeCell="F29" sqref="F29"/>
    </sheetView>
  </sheetViews>
  <sheetFormatPr defaultColWidth="9.140625" defaultRowHeight="12.75"/>
  <cols>
    <col min="1" max="1" width="7.7109375" style="153" hidden="1" customWidth="1"/>
    <col min="2" max="2" width="6.140625" style="153" customWidth="1"/>
    <col min="3" max="3" width="5.8515625" style="153" customWidth="1"/>
    <col min="4" max="4" width="6.421875" style="153" customWidth="1"/>
    <col min="5" max="5" width="5.421875" style="153" customWidth="1"/>
    <col min="6" max="6" width="65.28125" style="154" customWidth="1"/>
    <col min="7" max="7" width="4.28125" style="156" hidden="1" customWidth="1"/>
    <col min="8" max="8" width="13.7109375" style="156" customWidth="1"/>
    <col min="9" max="9" width="13.7109375" style="156" hidden="1" customWidth="1"/>
    <col min="10" max="11" width="15.421875" style="156" hidden="1" customWidth="1"/>
    <col min="12" max="12" width="15.421875" style="156" customWidth="1"/>
    <col min="13" max="13" width="15.7109375" style="156" customWidth="1"/>
    <col min="14" max="14" width="8.421875" style="156" customWidth="1"/>
    <col min="15" max="15" width="33.00390625" style="91" customWidth="1"/>
    <col min="16" max="16" width="22.140625" style="92" customWidth="1"/>
    <col min="17" max="17" width="15.00390625" style="0" customWidth="1"/>
    <col min="18" max="18" width="8.7109375" style="0" customWidth="1"/>
  </cols>
  <sheetData>
    <row r="1" ht="13.5" thickBot="1"/>
    <row r="2" spans="1:15" s="85" customFormat="1" ht="42.75" customHeight="1" thickBot="1">
      <c r="A2" s="82" t="s">
        <v>129</v>
      </c>
      <c r="B2" s="82" t="s">
        <v>129</v>
      </c>
      <c r="C2" s="82" t="s">
        <v>926</v>
      </c>
      <c r="D2" s="82" t="s">
        <v>927</v>
      </c>
      <c r="E2" s="82"/>
      <c r="F2" s="82" t="s">
        <v>928</v>
      </c>
      <c r="G2" s="83" t="s">
        <v>929</v>
      </c>
      <c r="H2" s="83" t="s">
        <v>943</v>
      </c>
      <c r="I2" s="84" t="s">
        <v>944</v>
      </c>
      <c r="J2" s="83" t="s">
        <v>945</v>
      </c>
      <c r="K2" s="83" t="s">
        <v>274</v>
      </c>
      <c r="L2" s="83" t="s">
        <v>749</v>
      </c>
      <c r="M2" s="83" t="s">
        <v>68</v>
      </c>
      <c r="N2" s="83" t="s">
        <v>425</v>
      </c>
      <c r="O2" s="82" t="s">
        <v>180</v>
      </c>
    </row>
    <row r="3" spans="1:22" ht="30.75" customHeight="1">
      <c r="A3" s="86" t="s">
        <v>946</v>
      </c>
      <c r="B3" s="86" t="s">
        <v>947</v>
      </c>
      <c r="C3" s="87"/>
      <c r="D3" s="87"/>
      <c r="E3" s="87"/>
      <c r="F3" s="88"/>
      <c r="G3" s="90"/>
      <c r="H3" s="90"/>
      <c r="I3" s="90"/>
      <c r="J3" s="90"/>
      <c r="K3" s="90"/>
      <c r="L3" s="90"/>
      <c r="M3" s="90"/>
      <c r="N3" s="90"/>
      <c r="Q3" s="93"/>
      <c r="R3" s="93"/>
      <c r="S3" s="93"/>
      <c r="T3" s="93"/>
      <c r="U3" s="93"/>
      <c r="V3" s="93"/>
    </row>
    <row r="4" spans="1:16" s="93" customFormat="1" ht="15" customHeight="1">
      <c r="A4" s="106">
        <v>4195</v>
      </c>
      <c r="B4" s="99">
        <v>995</v>
      </c>
      <c r="C4" s="106">
        <v>2321</v>
      </c>
      <c r="D4" s="106">
        <v>6121</v>
      </c>
      <c r="E4" s="99">
        <v>1</v>
      </c>
      <c r="F4" s="137" t="s">
        <v>948</v>
      </c>
      <c r="G4" s="103">
        <v>8.8</v>
      </c>
      <c r="H4" s="133">
        <v>0</v>
      </c>
      <c r="I4" s="133">
        <v>910000</v>
      </c>
      <c r="J4" s="133">
        <f>H4+I4+200000</f>
        <v>1110000</v>
      </c>
      <c r="K4" s="133"/>
      <c r="L4" s="133">
        <f>1089500+20500</f>
        <v>1110000</v>
      </c>
      <c r="M4" s="133">
        <v>1108833.6</v>
      </c>
      <c r="N4" s="133">
        <f>M4/L4*100</f>
        <v>99.89491891891893</v>
      </c>
      <c r="O4" s="274" t="s">
        <v>949</v>
      </c>
      <c r="P4" s="92"/>
    </row>
    <row r="5" spans="1:22" ht="15" customHeight="1">
      <c r="A5" s="99">
        <v>395</v>
      </c>
      <c r="B5" s="99">
        <f>A5</f>
        <v>395</v>
      </c>
      <c r="C5" s="99">
        <v>2310</v>
      </c>
      <c r="D5" s="99">
        <v>6121</v>
      </c>
      <c r="E5" s="99">
        <v>2</v>
      </c>
      <c r="F5" s="105" t="s">
        <v>950</v>
      </c>
      <c r="G5" s="103">
        <v>1</v>
      </c>
      <c r="H5" s="133">
        <v>1000000</v>
      </c>
      <c r="I5" s="133"/>
      <c r="J5" s="133">
        <v>800000</v>
      </c>
      <c r="K5" s="133"/>
      <c r="L5" s="133">
        <f>J5+K5-650000</f>
        <v>150000</v>
      </c>
      <c r="M5" s="133">
        <v>42704</v>
      </c>
      <c r="N5" s="133">
        <f>M5/L5*100</f>
        <v>28.469333333333335</v>
      </c>
      <c r="O5" s="274" t="s">
        <v>949</v>
      </c>
      <c r="Q5" s="93"/>
      <c r="R5" s="93"/>
      <c r="S5" s="93"/>
      <c r="T5" s="93"/>
      <c r="U5" s="93"/>
      <c r="V5" s="93"/>
    </row>
    <row r="6" spans="1:22" ht="15" customHeight="1">
      <c r="A6" s="99">
        <v>5081</v>
      </c>
      <c r="B6" s="99">
        <f>A6</f>
        <v>5081</v>
      </c>
      <c r="C6" s="99">
        <v>2310</v>
      </c>
      <c r="D6" s="99">
        <v>6121</v>
      </c>
      <c r="E6" s="99">
        <v>3</v>
      </c>
      <c r="F6" s="105" t="s">
        <v>951</v>
      </c>
      <c r="G6" s="103">
        <v>3</v>
      </c>
      <c r="H6" s="133">
        <v>3000000</v>
      </c>
      <c r="I6" s="133"/>
      <c r="J6" s="133">
        <f>H6+I6</f>
        <v>3000000</v>
      </c>
      <c r="K6" s="133"/>
      <c r="L6" s="133">
        <f>J6+K6-877000</f>
        <v>2123000</v>
      </c>
      <c r="M6" s="133">
        <v>2121999</v>
      </c>
      <c r="N6" s="133">
        <f>M6/L6*100</f>
        <v>99.95284974093265</v>
      </c>
      <c r="O6" s="274" t="s">
        <v>135</v>
      </c>
      <c r="Q6" s="93"/>
      <c r="R6" s="93"/>
      <c r="S6" s="93"/>
      <c r="T6" s="93"/>
      <c r="U6" s="93"/>
      <c r="V6" s="93"/>
    </row>
    <row r="7" spans="1:22" ht="15" customHeight="1">
      <c r="A7" s="99"/>
      <c r="B7" s="99">
        <v>4195</v>
      </c>
      <c r="C7" s="99">
        <v>2212</v>
      </c>
      <c r="D7" s="99">
        <v>6121</v>
      </c>
      <c r="E7" s="99">
        <v>4</v>
      </c>
      <c r="F7" s="137" t="s">
        <v>61</v>
      </c>
      <c r="G7" s="103"/>
      <c r="H7" s="133">
        <v>8800000</v>
      </c>
      <c r="I7" s="133">
        <v>-8800000</v>
      </c>
      <c r="J7" s="133">
        <f>H7+I7</f>
        <v>0</v>
      </c>
      <c r="K7" s="133"/>
      <c r="L7" s="133">
        <f>J7+K7</f>
        <v>0</v>
      </c>
      <c r="M7" s="133">
        <v>0</v>
      </c>
      <c r="N7" s="133">
        <v>0</v>
      </c>
      <c r="O7" s="274" t="s">
        <v>949</v>
      </c>
      <c r="Q7" s="93"/>
      <c r="R7" s="93"/>
      <c r="S7" s="93"/>
      <c r="T7" s="93"/>
      <c r="U7" s="93"/>
      <c r="V7" s="93"/>
    </row>
    <row r="8" spans="1:22" ht="15" customHeight="1">
      <c r="A8" s="99">
        <v>4706</v>
      </c>
      <c r="B8" s="99">
        <f>A8</f>
        <v>4706</v>
      </c>
      <c r="C8" s="99">
        <v>2321</v>
      </c>
      <c r="D8" s="99">
        <v>6121</v>
      </c>
      <c r="E8" s="99">
        <v>5</v>
      </c>
      <c r="F8" s="105" t="s">
        <v>952</v>
      </c>
      <c r="G8" s="103">
        <v>0.5</v>
      </c>
      <c r="H8" s="133">
        <v>500000</v>
      </c>
      <c r="I8" s="133"/>
      <c r="J8" s="133">
        <f>H8+I8</f>
        <v>500000</v>
      </c>
      <c r="K8" s="133"/>
      <c r="L8" s="133">
        <f>J8+K8-500000</f>
        <v>0</v>
      </c>
      <c r="M8" s="133">
        <v>0</v>
      </c>
      <c r="N8" s="133">
        <v>0</v>
      </c>
      <c r="O8" s="274" t="s">
        <v>949</v>
      </c>
      <c r="Q8" s="93"/>
      <c r="R8" s="93"/>
      <c r="S8" s="93"/>
      <c r="T8" s="93"/>
      <c r="U8" s="93"/>
      <c r="V8" s="93"/>
    </row>
    <row r="9" spans="1:16" s="93" customFormat="1" ht="15" customHeight="1">
      <c r="A9" s="99">
        <v>5082</v>
      </c>
      <c r="B9" s="99">
        <f>A9</f>
        <v>5082</v>
      </c>
      <c r="C9" s="99">
        <v>2310</v>
      </c>
      <c r="D9" s="99">
        <v>6121</v>
      </c>
      <c r="E9" s="99">
        <v>6</v>
      </c>
      <c r="F9" s="105" t="s">
        <v>953</v>
      </c>
      <c r="G9" s="112">
        <v>2.2</v>
      </c>
      <c r="H9" s="120">
        <v>2200000</v>
      </c>
      <c r="I9" s="120"/>
      <c r="J9" s="133">
        <f>H9+I9</f>
        <v>2200000</v>
      </c>
      <c r="K9" s="133"/>
      <c r="L9" s="133">
        <f>J9+K9-172000</f>
        <v>2028000</v>
      </c>
      <c r="M9" s="133">
        <v>2025888.8</v>
      </c>
      <c r="N9" s="133">
        <f>M9/L9*100</f>
        <v>99.89589743589744</v>
      </c>
      <c r="O9" s="275" t="s">
        <v>135</v>
      </c>
      <c r="P9" s="92"/>
    </row>
    <row r="10" spans="1:22" ht="15" customHeight="1" thickBot="1">
      <c r="A10" s="99">
        <v>610</v>
      </c>
      <c r="B10" s="99">
        <f>A10</f>
        <v>610</v>
      </c>
      <c r="C10" s="99">
        <v>2321</v>
      </c>
      <c r="D10" s="99">
        <v>6121</v>
      </c>
      <c r="E10" s="99">
        <v>7</v>
      </c>
      <c r="F10" s="105" t="s">
        <v>954</v>
      </c>
      <c r="G10" s="103">
        <v>0.5</v>
      </c>
      <c r="H10" s="133">
        <v>500000</v>
      </c>
      <c r="I10" s="133"/>
      <c r="J10" s="133">
        <f>H10+I10</f>
        <v>500000</v>
      </c>
      <c r="K10" s="133"/>
      <c r="L10" s="133">
        <f>J10+K10-200000</f>
        <v>300000</v>
      </c>
      <c r="M10" s="133">
        <v>247200</v>
      </c>
      <c r="N10" s="133">
        <f>M10/L10*100</f>
        <v>82.39999999999999</v>
      </c>
      <c r="O10" s="274" t="s">
        <v>949</v>
      </c>
      <c r="Q10" s="93"/>
      <c r="R10" s="93"/>
      <c r="S10" s="93"/>
      <c r="T10" s="93"/>
      <c r="U10" s="93"/>
      <c r="V10" s="93"/>
    </row>
    <row r="11" spans="1:22" s="279" customFormat="1" ht="15" customHeight="1" thickBot="1">
      <c r="A11" s="276"/>
      <c r="B11" s="277"/>
      <c r="C11" s="277"/>
      <c r="D11" s="277"/>
      <c r="E11" s="277"/>
      <c r="F11" s="243" t="s">
        <v>979</v>
      </c>
      <c r="G11" s="244"/>
      <c r="H11" s="146">
        <f>SUM(H4:H10)</f>
        <v>16000000</v>
      </c>
      <c r="I11" s="146"/>
      <c r="J11" s="146">
        <f>SUM(J4:J10)</f>
        <v>8110000</v>
      </c>
      <c r="K11" s="146">
        <f>SUM(K4:K10)</f>
        <v>0</v>
      </c>
      <c r="L11" s="146">
        <f>SUM(L4:L10)</f>
        <v>5711000</v>
      </c>
      <c r="M11" s="146">
        <f>SUM(M4:M10)</f>
        <v>5546625.4</v>
      </c>
      <c r="N11" s="146">
        <f>M11/J11*100</f>
        <v>68.39242170160297</v>
      </c>
      <c r="O11" s="243"/>
      <c r="P11" s="278"/>
      <c r="Q11" s="278"/>
      <c r="R11" s="278"/>
      <c r="S11" s="278"/>
      <c r="T11" s="278"/>
      <c r="U11" s="278"/>
      <c r="V11" s="278"/>
    </row>
    <row r="12" spans="1:22" s="114" customFormat="1" ht="15" customHeight="1">
      <c r="A12" s="150"/>
      <c r="B12" s="150"/>
      <c r="C12" s="150"/>
      <c r="D12" s="150"/>
      <c r="E12" s="150"/>
      <c r="F12" s="151"/>
      <c r="G12" s="90"/>
      <c r="H12" s="90"/>
      <c r="I12" s="90"/>
      <c r="J12" s="90"/>
      <c r="K12" s="90"/>
      <c r="L12" s="90"/>
      <c r="M12" s="90"/>
      <c r="N12" s="90"/>
      <c r="O12" s="152"/>
      <c r="P12" s="92"/>
      <c r="Q12" s="92"/>
      <c r="R12" s="92"/>
      <c r="S12" s="92"/>
      <c r="T12" s="92"/>
      <c r="U12" s="92"/>
      <c r="V12" s="92"/>
    </row>
    <row r="13" spans="7:22" ht="15" customHeight="1">
      <c r="G13" s="155"/>
      <c r="H13" s="155"/>
      <c r="I13" s="155"/>
      <c r="J13" s="155"/>
      <c r="K13" s="155"/>
      <c r="L13" s="155"/>
      <c r="M13" s="155"/>
      <c r="N13" s="155"/>
      <c r="Q13" s="93"/>
      <c r="R13" s="93"/>
      <c r="S13" s="93"/>
      <c r="T13" s="93"/>
      <c r="U13" s="93"/>
      <c r="V13" s="93"/>
    </row>
    <row r="14" spans="17:22" ht="12.75">
      <c r="Q14" s="93"/>
      <c r="R14" s="93"/>
      <c r="S14" s="93"/>
      <c r="T14" s="93"/>
      <c r="U14" s="93"/>
      <c r="V14" s="93"/>
    </row>
  </sheetData>
  <printOptions/>
  <pageMargins left="0.47" right="0.23" top="0.93" bottom="0.984251968503937" header="0.5118110236220472" footer="0.5118110236220472"/>
  <pageSetup firstPageNumber="9" useFirstPageNumber="1" horizontalDpi="300" verticalDpi="300" orientation="landscape" paperSize="9" scale="75" r:id="rId2"/>
  <headerFooter alignWithMargins="0">
    <oddHeader>&amp;Lv Kč&amp;C&amp;"Arial,Tučné"Schválený rozpočet investičních akcí na rok 2010 - individuální příslib</oddHeader>
    <oddFooter>&amp;C&amp;8 10</oddFooter>
  </headerFooter>
  <drawing r:id="rId1"/>
</worksheet>
</file>

<file path=xl/worksheets/sheet28.xml><?xml version="1.0" encoding="utf-8"?>
<worksheet xmlns="http://schemas.openxmlformats.org/spreadsheetml/2006/main" xmlns:r="http://schemas.openxmlformats.org/officeDocument/2006/relationships">
  <sheetPr>
    <tabColor indexed="42"/>
  </sheetPr>
  <dimension ref="A1:U13"/>
  <sheetViews>
    <sheetView zoomScaleSheetLayoutView="100" workbookViewId="0" topLeftCell="A1">
      <pane xSplit="6" ySplit="1" topLeftCell="G2" activePane="bottomRight" state="frozen"/>
      <selection pane="topLeft" activeCell="A1" sqref="A1"/>
      <selection pane="topRight" activeCell="C1" sqref="C1"/>
      <selection pane="bottomLeft" activeCell="A3" sqref="A3"/>
      <selection pane="bottomRight" activeCell="K31" sqref="K31"/>
    </sheetView>
  </sheetViews>
  <sheetFormatPr defaultColWidth="9.140625" defaultRowHeight="12.75"/>
  <cols>
    <col min="1" max="1" width="7.7109375" style="153" hidden="1" customWidth="1"/>
    <col min="2" max="2" width="5.421875" style="153" customWidth="1"/>
    <col min="3" max="3" width="5.7109375" style="153" customWidth="1"/>
    <col min="4" max="4" width="5.8515625" style="153" customWidth="1"/>
    <col min="5" max="5" width="5.28125" style="153" customWidth="1"/>
    <col min="6" max="6" width="71.421875" style="154" customWidth="1"/>
    <col min="7" max="7" width="15.8515625" style="156" customWidth="1"/>
    <col min="8" max="8" width="15.8515625" style="156" hidden="1" customWidth="1"/>
    <col min="9" max="10" width="15.28125" style="156" hidden="1" customWidth="1"/>
    <col min="11" max="11" width="15.28125" style="156" customWidth="1"/>
    <col min="12" max="12" width="15.7109375" style="156" customWidth="1"/>
    <col min="13" max="13" width="8.421875" style="156" customWidth="1"/>
    <col min="14" max="14" width="24.00390625" style="91" customWidth="1"/>
    <col min="15" max="15" width="22.140625" style="92" customWidth="1"/>
    <col min="16" max="16" width="15.00390625" style="0" customWidth="1"/>
    <col min="17" max="17" width="8.7109375" style="0" customWidth="1"/>
  </cols>
  <sheetData>
    <row r="1" spans="1:14" s="85" customFormat="1" ht="42.75" customHeight="1" thickBot="1">
      <c r="A1" s="82" t="s">
        <v>129</v>
      </c>
      <c r="B1" s="82" t="s">
        <v>129</v>
      </c>
      <c r="C1" s="82" t="s">
        <v>926</v>
      </c>
      <c r="D1" s="82" t="s">
        <v>927</v>
      </c>
      <c r="E1" s="82"/>
      <c r="F1" s="82" t="s">
        <v>928</v>
      </c>
      <c r="G1" s="83" t="s">
        <v>955</v>
      </c>
      <c r="H1" s="83" t="s">
        <v>424</v>
      </c>
      <c r="I1" s="83" t="s">
        <v>426</v>
      </c>
      <c r="J1" s="83" t="s">
        <v>274</v>
      </c>
      <c r="K1" s="83" t="s">
        <v>732</v>
      </c>
      <c r="L1" s="83" t="s">
        <v>733</v>
      </c>
      <c r="M1" s="83" t="s">
        <v>425</v>
      </c>
      <c r="N1" s="82" t="s">
        <v>180</v>
      </c>
    </row>
    <row r="2" spans="1:21" ht="23.25" customHeight="1">
      <c r="A2" s="86" t="s">
        <v>946</v>
      </c>
      <c r="B2" s="86" t="s">
        <v>125</v>
      </c>
      <c r="C2" s="87"/>
      <c r="D2" s="87"/>
      <c r="E2" s="87"/>
      <c r="F2" s="88"/>
      <c r="G2" s="90"/>
      <c r="H2" s="90"/>
      <c r="I2" s="90"/>
      <c r="J2" s="90"/>
      <c r="K2" s="90"/>
      <c r="L2" s="90"/>
      <c r="M2" s="90"/>
      <c r="P2" s="93"/>
      <c r="Q2" s="93"/>
      <c r="R2" s="93"/>
      <c r="S2" s="93"/>
      <c r="T2" s="93"/>
      <c r="U2" s="93"/>
    </row>
    <row r="3" spans="1:21" ht="15" customHeight="1">
      <c r="A3" s="99">
        <v>395</v>
      </c>
      <c r="B3" s="99"/>
      <c r="C3" s="99"/>
      <c r="D3" s="99"/>
      <c r="E3" s="99">
        <v>1</v>
      </c>
      <c r="F3" s="105" t="s">
        <v>133</v>
      </c>
      <c r="G3" s="133">
        <f>'[5]A stav. inv.'!H44</f>
        <v>372220000</v>
      </c>
      <c r="H3" s="133">
        <f>'[4]A stav. inv.'!L57</f>
        <v>20000</v>
      </c>
      <c r="I3" s="133">
        <f>'[4]A stav. inv.'!O57</f>
        <v>380024000</v>
      </c>
      <c r="J3" s="133">
        <f>'[4]A stav. inv.'!P57</f>
        <v>3236306</v>
      </c>
      <c r="K3" s="133">
        <f>'A stav. inv.'!Q89</f>
        <v>379524148.78</v>
      </c>
      <c r="L3" s="133">
        <f>'A stav. inv.'!R89</f>
        <v>377352468.35999995</v>
      </c>
      <c r="M3" s="133">
        <f aca="true" t="shared" si="0" ref="M3:M10">L3/K3*100</f>
        <v>99.4277886066062</v>
      </c>
      <c r="N3" s="280"/>
      <c r="P3" s="93"/>
      <c r="Q3" s="93"/>
      <c r="R3" s="93"/>
      <c r="S3" s="93"/>
      <c r="T3" s="93"/>
      <c r="U3" s="93"/>
    </row>
    <row r="4" spans="1:21" ht="15" customHeight="1">
      <c r="A4" s="99">
        <v>610</v>
      </c>
      <c r="B4" s="99"/>
      <c r="C4" s="99"/>
      <c r="D4" s="99"/>
      <c r="E4" s="99">
        <v>2</v>
      </c>
      <c r="F4" s="105" t="s">
        <v>986</v>
      </c>
      <c r="G4" s="133">
        <f>'[5]B projekt. dok.'!H35</f>
        <v>16329999.999999994</v>
      </c>
      <c r="H4" s="133">
        <f>'[4]B projekt. dok.'!M73</f>
        <v>420000</v>
      </c>
      <c r="I4" s="133">
        <f>'[4]B projekt. dok.'!N73</f>
        <v>15591300</v>
      </c>
      <c r="J4" s="133">
        <f>'[4]B projekt. dok.'!O73</f>
        <v>-638000</v>
      </c>
      <c r="K4" s="133">
        <f>'B projekt. dok.'!P83</f>
        <v>11795344</v>
      </c>
      <c r="L4" s="133">
        <f>'B projekt. dok.'!Q83</f>
        <v>11576452.5</v>
      </c>
      <c r="M4" s="133">
        <f t="shared" si="0"/>
        <v>98.144255055215</v>
      </c>
      <c r="N4" s="280"/>
      <c r="P4" s="93"/>
      <c r="Q4" s="93"/>
      <c r="R4" s="93"/>
      <c r="S4" s="93"/>
      <c r="T4" s="93"/>
      <c r="U4" s="93"/>
    </row>
    <row r="5" spans="1:21" ht="15" customHeight="1">
      <c r="A5" s="99">
        <v>5081</v>
      </c>
      <c r="B5" s="99"/>
      <c r="C5" s="99"/>
      <c r="D5" s="99"/>
      <c r="E5" s="99">
        <v>3</v>
      </c>
      <c r="F5" s="105" t="s">
        <v>920</v>
      </c>
      <c r="G5" s="133">
        <f>'[5]C,D,E nest. inv,OKR,OEP'!H6</f>
        <v>4060000</v>
      </c>
      <c r="H5" s="133">
        <f>'[4]C,D,E,G nest. inv,OKR,OEP'!L36</f>
        <v>15276</v>
      </c>
      <c r="I5" s="133">
        <f>'[4]C,D,E,G nest. inv,OKR,OEP'!O36</f>
        <v>32329123</v>
      </c>
      <c r="J5" s="133">
        <f>'[4]C,D,E,G nest. inv,OKR,OEP'!P36</f>
        <v>7914270</v>
      </c>
      <c r="K5" s="133">
        <f>'C,D,E,G nest. inv,OKR,OEP'!Q49</f>
        <v>70374974.47</v>
      </c>
      <c r="L5" s="133">
        <f>'C,D,E,G nest. inv,OKR,OEP'!R49</f>
        <v>66045154.37</v>
      </c>
      <c r="M5" s="133">
        <f t="shared" si="0"/>
        <v>93.84750029025481</v>
      </c>
      <c r="N5" s="280"/>
      <c r="P5" s="93"/>
      <c r="Q5" s="93"/>
      <c r="R5" s="93"/>
      <c r="S5" s="93"/>
      <c r="T5" s="93"/>
      <c r="U5" s="93"/>
    </row>
    <row r="6" spans="1:21" ht="15" customHeight="1">
      <c r="A6" s="99">
        <v>4706</v>
      </c>
      <c r="B6" s="99"/>
      <c r="C6" s="99"/>
      <c r="D6" s="99"/>
      <c r="E6" s="99">
        <v>4</v>
      </c>
      <c r="F6" s="105" t="s">
        <v>427</v>
      </c>
      <c r="G6" s="133">
        <f>'[5]C,D,E nest. inv,OKR,OEP'!H16</f>
        <v>8380000</v>
      </c>
      <c r="H6" s="133"/>
      <c r="I6" s="133">
        <f>'[4]C,D,E,G nest. inv,OKR,OEP'!O48</f>
        <v>6900000</v>
      </c>
      <c r="J6" s="133">
        <f>'[4]C,D,E,G nest. inv,OKR,OEP'!P48</f>
        <v>-200000</v>
      </c>
      <c r="K6" s="133">
        <f>'C,D,E,G nest. inv,OKR,OEP'!Q63</f>
        <v>6907552</v>
      </c>
      <c r="L6" s="133">
        <f>'C,D,E,G nest. inv,OKR,OEP'!R63</f>
        <v>6713720</v>
      </c>
      <c r="M6" s="133">
        <f t="shared" si="0"/>
        <v>97.19391182288602</v>
      </c>
      <c r="N6" s="280"/>
      <c r="P6" s="93"/>
      <c r="Q6" s="93"/>
      <c r="R6" s="93"/>
      <c r="S6" s="93"/>
      <c r="T6" s="93"/>
      <c r="U6" s="93"/>
    </row>
    <row r="7" spans="1:15" s="93" customFormat="1" ht="15" customHeight="1">
      <c r="A7" s="99">
        <v>5082</v>
      </c>
      <c r="B7" s="99"/>
      <c r="C7" s="99"/>
      <c r="D7" s="99"/>
      <c r="E7" s="99">
        <v>5</v>
      </c>
      <c r="F7" s="105" t="s">
        <v>428</v>
      </c>
      <c r="G7" s="120">
        <f>'[5]C,D,E nest. inv,OKR,OEP'!H21</f>
        <v>750000</v>
      </c>
      <c r="H7" s="120"/>
      <c r="I7" s="133">
        <f>G7+H7</f>
        <v>750000</v>
      </c>
      <c r="J7" s="133">
        <v>0</v>
      </c>
      <c r="K7" s="133">
        <f>'C,D,E,G nest. inv,OKR,OEP'!Q68</f>
        <v>750000</v>
      </c>
      <c r="L7" s="120">
        <f>'[3]C,D,E,G nest. inv,OKR,OEP'!R53</f>
        <v>0</v>
      </c>
      <c r="M7" s="133">
        <f t="shared" si="0"/>
        <v>0</v>
      </c>
      <c r="N7" s="281"/>
      <c r="O7" s="92"/>
    </row>
    <row r="8" spans="1:15" s="93" customFormat="1" ht="15" customHeight="1">
      <c r="A8" s="106">
        <v>4195</v>
      </c>
      <c r="B8" s="182"/>
      <c r="C8" s="134"/>
      <c r="D8" s="134"/>
      <c r="E8" s="134">
        <v>6</v>
      </c>
      <c r="F8" s="137" t="s">
        <v>429</v>
      </c>
      <c r="G8" s="133">
        <f>'[5]F MOVO'!H9</f>
        <v>16000000</v>
      </c>
      <c r="H8" s="133" t="e">
        <f>'[4]F MOVO'!#REF!</f>
        <v>#REF!</v>
      </c>
      <c r="I8" s="133">
        <f>'[4]F MOVO'!J11</f>
        <v>8110000</v>
      </c>
      <c r="J8" s="133">
        <f>'[4]F MOVO'!K11</f>
        <v>0</v>
      </c>
      <c r="K8" s="133">
        <f>'F MOVO'!L11</f>
        <v>5711000</v>
      </c>
      <c r="L8" s="133">
        <f>'F MOVO'!M11</f>
        <v>5546625.4</v>
      </c>
      <c r="M8" s="282">
        <f t="shared" si="0"/>
        <v>97.12178952897918</v>
      </c>
      <c r="N8" s="283"/>
      <c r="O8" s="92"/>
    </row>
    <row r="9" spans="1:15" s="93" customFormat="1" ht="15" customHeight="1" thickBot="1">
      <c r="A9" s="284"/>
      <c r="B9" s="233"/>
      <c r="C9" s="213"/>
      <c r="D9" s="213"/>
      <c r="E9" s="213">
        <v>7</v>
      </c>
      <c r="F9" s="285" t="s">
        <v>19</v>
      </c>
      <c r="G9" s="286">
        <v>0</v>
      </c>
      <c r="H9" s="287">
        <f>'[4]C,D,E,G nest. inv,OKR,OEP'!L67</f>
        <v>57024</v>
      </c>
      <c r="I9" s="133">
        <f>'[4]C,D,E,G nest. inv,OKR,OEP'!O67</f>
        <v>810960</v>
      </c>
      <c r="J9" s="133">
        <f>'[4]C,D,E,G nest. inv,OKR,OEP'!P67</f>
        <v>700000</v>
      </c>
      <c r="K9" s="133">
        <f>'C,D,E,G nest. inv,OKR,OEP'!Q88</f>
        <v>5875960</v>
      </c>
      <c r="L9" s="133">
        <f>'C,D,E,G nest. inv,OKR,OEP'!R88</f>
        <v>5875960</v>
      </c>
      <c r="M9" s="286">
        <f t="shared" si="0"/>
        <v>100</v>
      </c>
      <c r="N9" s="288"/>
      <c r="O9" s="92"/>
    </row>
    <row r="10" spans="1:21" s="279" customFormat="1" ht="15" customHeight="1" thickBot="1">
      <c r="A10" s="276"/>
      <c r="B10" s="276"/>
      <c r="C10" s="276"/>
      <c r="D10" s="276"/>
      <c r="E10" s="277"/>
      <c r="F10" s="243" t="s">
        <v>276</v>
      </c>
      <c r="G10" s="146">
        <f>G3+G4+G5+G6+G7+G8</f>
        <v>417740000</v>
      </c>
      <c r="H10" s="146" t="e">
        <f>SUM(H3:H9)</f>
        <v>#REF!</v>
      </c>
      <c r="I10" s="146">
        <f>I3+I4+I5+I6+I7+I8+I9</f>
        <v>444515383</v>
      </c>
      <c r="J10" s="146">
        <f>J3+J4+J5+J6+J7+J8+J9</f>
        <v>11012576</v>
      </c>
      <c r="K10" s="146">
        <f>K3+K4+K5+K6+K7+K8+K9</f>
        <v>480938979.25</v>
      </c>
      <c r="L10" s="289">
        <f>L3+L4+L5+L6+L7+L8+L9</f>
        <v>473110380.62999994</v>
      </c>
      <c r="M10" s="146">
        <f t="shared" si="0"/>
        <v>98.37222621626378</v>
      </c>
      <c r="N10" s="290"/>
      <c r="O10" s="278"/>
      <c r="P10" s="278"/>
      <c r="Q10" s="278"/>
      <c r="R10" s="278"/>
      <c r="S10" s="278"/>
      <c r="T10" s="278"/>
      <c r="U10" s="278"/>
    </row>
    <row r="11" spans="1:21" s="114" customFormat="1" ht="15" customHeight="1">
      <c r="A11" s="150"/>
      <c r="B11" s="150"/>
      <c r="C11" s="150"/>
      <c r="D11" s="150"/>
      <c r="E11" s="150"/>
      <c r="F11" s="151"/>
      <c r="G11" s="90"/>
      <c r="H11" s="90"/>
      <c r="I11" s="90"/>
      <c r="J11" s="90"/>
      <c r="K11" s="90"/>
      <c r="L11" s="90"/>
      <c r="M11" s="90"/>
      <c r="N11" s="152"/>
      <c r="O11" s="92"/>
      <c r="P11" s="92"/>
      <c r="Q11" s="92"/>
      <c r="R11" s="92"/>
      <c r="S11" s="92"/>
      <c r="T11" s="92"/>
      <c r="U11" s="92"/>
    </row>
    <row r="12" spans="7:21" ht="15" customHeight="1">
      <c r="G12" s="155"/>
      <c r="H12" s="155"/>
      <c r="I12" s="155"/>
      <c r="J12" s="155"/>
      <c r="K12" s="155"/>
      <c r="L12" s="155"/>
      <c r="M12" s="155"/>
      <c r="P12" s="93"/>
      <c r="Q12" s="93"/>
      <c r="R12" s="93"/>
      <c r="S12" s="93"/>
      <c r="T12" s="93"/>
      <c r="U12" s="93"/>
    </row>
    <row r="13" spans="16:21" ht="12.75">
      <c r="P13" s="93"/>
      <c r="Q13" s="93"/>
      <c r="R13" s="93"/>
      <c r="S13" s="93"/>
      <c r="T13" s="93"/>
      <c r="U13" s="93"/>
    </row>
  </sheetData>
  <printOptions/>
  <pageMargins left="0.99" right="0.3937007874015748" top="1.48" bottom="0.984251968503937" header="0.75" footer="0.5118110236220472"/>
  <pageSetup firstPageNumber="10" useFirstPageNumber="1" horizontalDpi="300" verticalDpi="300" orientation="landscape" paperSize="9" scale="75" r:id="rId2"/>
  <headerFooter alignWithMargins="0">
    <oddHeader>&amp;Lv Kč&amp;C&amp;"Arial,Tučné"Schválený rozpočet investičních akcí na rok 2010 - individuální příslib</oddHeader>
    <oddFooter>&amp;C&amp;8 11</oddFooter>
  </headerFooter>
  <drawing r:id="rId1"/>
</worksheet>
</file>

<file path=xl/worksheets/sheet3.xml><?xml version="1.0" encoding="utf-8"?>
<worksheet xmlns="http://schemas.openxmlformats.org/spreadsheetml/2006/main" xmlns:r="http://schemas.openxmlformats.org/officeDocument/2006/relationships">
  <sheetPr>
    <tabColor indexed="47"/>
  </sheetPr>
  <dimension ref="A1:K1120"/>
  <sheetViews>
    <sheetView tabSelected="1" workbookViewId="0" topLeftCell="A76">
      <selection activeCell="I113" sqref="I113"/>
    </sheetView>
  </sheetViews>
  <sheetFormatPr defaultColWidth="9.140625" defaultRowHeight="12.75"/>
  <cols>
    <col min="1" max="1" width="4.8515625" style="605" customWidth="1"/>
    <col min="2" max="2" width="36.00390625" style="40" customWidth="1"/>
    <col min="3" max="3" width="10.140625" style="40" hidden="1" customWidth="1"/>
    <col min="4" max="4" width="6.8515625" style="40" hidden="1" customWidth="1"/>
    <col min="5" max="7" width="12.7109375" style="40" customWidth="1"/>
    <col min="8" max="8" width="8.00390625" style="40" customWidth="1"/>
    <col min="9" max="9" width="70.7109375" style="40" customWidth="1"/>
    <col min="10" max="14" width="9.140625" style="40" customWidth="1"/>
    <col min="15" max="15" width="8.8515625" style="40" customWidth="1"/>
    <col min="16" max="17" width="9.140625" style="40" customWidth="1"/>
    <col min="18" max="19" width="8.8515625" style="40" customWidth="1"/>
    <col min="20" max="16384" width="9.140625" style="40" customWidth="1"/>
  </cols>
  <sheetData>
    <row r="1" spans="1:9" s="567" customFormat="1" ht="36.75" customHeight="1" thickBot="1">
      <c r="A1" s="1202" t="s">
        <v>643</v>
      </c>
      <c r="B1" s="1202" t="s">
        <v>644</v>
      </c>
      <c r="C1" s="1203" t="s">
        <v>645</v>
      </c>
      <c r="D1" s="1203" t="s">
        <v>646</v>
      </c>
      <c r="E1" s="1202" t="s">
        <v>647</v>
      </c>
      <c r="F1" s="1202" t="s">
        <v>319</v>
      </c>
      <c r="G1" s="1202" t="s">
        <v>648</v>
      </c>
      <c r="H1" s="1202" t="s">
        <v>649</v>
      </c>
      <c r="I1" s="1202" t="s">
        <v>650</v>
      </c>
    </row>
    <row r="2" spans="1:9" ht="13.5" customHeight="1">
      <c r="A2" s="568">
        <v>1111</v>
      </c>
      <c r="B2" s="41" t="s">
        <v>651</v>
      </c>
      <c r="C2" s="569">
        <v>238000</v>
      </c>
      <c r="D2" s="569"/>
      <c r="E2" s="570">
        <v>238000000</v>
      </c>
      <c r="F2" s="570">
        <v>238000000</v>
      </c>
      <c r="G2" s="570">
        <v>226867869.29</v>
      </c>
      <c r="H2" s="570">
        <f>G2/F2*100</f>
        <v>95.32263415546218</v>
      </c>
      <c r="I2" s="571"/>
    </row>
    <row r="3" spans="1:9" ht="13.5" customHeight="1">
      <c r="A3" s="568">
        <v>1112</v>
      </c>
      <c r="B3" s="41" t="s">
        <v>652</v>
      </c>
      <c r="C3" s="569">
        <v>30000</v>
      </c>
      <c r="D3" s="569"/>
      <c r="E3" s="570">
        <v>30000000</v>
      </c>
      <c r="F3" s="570">
        <v>30000000</v>
      </c>
      <c r="G3" s="570">
        <v>57200950.55</v>
      </c>
      <c r="H3" s="570">
        <f>G3/F3*100</f>
        <v>190.66983516666664</v>
      </c>
      <c r="I3" s="571"/>
    </row>
    <row r="4" spans="1:9" ht="13.5" customHeight="1">
      <c r="A4" s="568">
        <v>1113</v>
      </c>
      <c r="B4" s="41" t="s">
        <v>653</v>
      </c>
      <c r="C4" s="569">
        <v>18000</v>
      </c>
      <c r="D4" s="569"/>
      <c r="E4" s="570">
        <v>18000000</v>
      </c>
      <c r="F4" s="570">
        <v>18000000</v>
      </c>
      <c r="G4" s="570">
        <v>18295090.32</v>
      </c>
      <c r="H4" s="570">
        <f>G4/F4*100</f>
        <v>101.63939066666667</v>
      </c>
      <c r="I4" s="571"/>
    </row>
    <row r="5" spans="1:9" ht="13.5" customHeight="1">
      <c r="A5" s="568">
        <v>1121</v>
      </c>
      <c r="B5" s="41" t="s">
        <v>654</v>
      </c>
      <c r="C5" s="569">
        <v>230000</v>
      </c>
      <c r="D5" s="569"/>
      <c r="E5" s="570">
        <v>230000000</v>
      </c>
      <c r="F5" s="570">
        <v>230000000</v>
      </c>
      <c r="G5" s="570">
        <v>222910561.38</v>
      </c>
      <c r="H5" s="570">
        <f>G5/F5*100</f>
        <v>96.9176353826087</v>
      </c>
      <c r="I5" s="571"/>
    </row>
    <row r="6" spans="1:9" ht="13.5" customHeight="1">
      <c r="A6" s="568">
        <v>1122</v>
      </c>
      <c r="B6" s="41" t="s">
        <v>655</v>
      </c>
      <c r="C6" s="569">
        <v>95329</v>
      </c>
      <c r="D6" s="569">
        <v>35506</v>
      </c>
      <c r="E6" s="570">
        <v>59823000</v>
      </c>
      <c r="F6" s="570">
        <v>81293000</v>
      </c>
      <c r="G6" s="570">
        <v>73000000</v>
      </c>
      <c r="H6" s="570">
        <f>G6/F6*100</f>
        <v>89.7986296483092</v>
      </c>
      <c r="I6" s="571" t="s">
        <v>556</v>
      </c>
    </row>
    <row r="7" spans="1:9" ht="13.5" customHeight="1">
      <c r="A7" s="568"/>
      <c r="B7" s="41"/>
      <c r="C7" s="569"/>
      <c r="D7" s="569"/>
      <c r="E7" s="570"/>
      <c r="F7" s="570"/>
      <c r="G7" s="570"/>
      <c r="H7" s="570"/>
      <c r="I7" s="572" t="s">
        <v>656</v>
      </c>
    </row>
    <row r="8" spans="1:9" ht="13.5" customHeight="1">
      <c r="A8" s="568"/>
      <c r="B8" s="41"/>
      <c r="C8" s="569"/>
      <c r="D8" s="569"/>
      <c r="E8" s="570"/>
      <c r="F8" s="570"/>
      <c r="G8" s="570"/>
      <c r="H8" s="570"/>
      <c r="I8" s="573" t="s">
        <v>557</v>
      </c>
    </row>
    <row r="9" spans="1:9" ht="13.5" customHeight="1">
      <c r="A9" s="568"/>
      <c r="B9" s="41"/>
      <c r="C9" s="569"/>
      <c r="D9" s="569"/>
      <c r="E9" s="570"/>
      <c r="F9" s="570"/>
      <c r="G9" s="570"/>
      <c r="H9" s="570"/>
      <c r="I9" s="572" t="s">
        <v>656</v>
      </c>
    </row>
    <row r="10" spans="1:9" ht="13.5" customHeight="1">
      <c r="A10" s="568">
        <v>1211</v>
      </c>
      <c r="B10" s="41" t="s">
        <v>657</v>
      </c>
      <c r="C10" s="569">
        <v>460000</v>
      </c>
      <c r="D10" s="569"/>
      <c r="E10" s="570">
        <v>460000000</v>
      </c>
      <c r="F10" s="570">
        <v>460000000</v>
      </c>
      <c r="G10" s="570">
        <v>480826910.36</v>
      </c>
      <c r="H10" s="570">
        <f>G10/F10*100</f>
        <v>104.52758920869564</v>
      </c>
      <c r="I10" s="571"/>
    </row>
    <row r="11" spans="1:9" ht="13.5" customHeight="1" thickBot="1">
      <c r="A11" s="568">
        <v>1511</v>
      </c>
      <c r="B11" s="41" t="s">
        <v>658</v>
      </c>
      <c r="C11" s="569">
        <v>147000</v>
      </c>
      <c r="D11" s="569"/>
      <c r="E11" s="570">
        <v>147000000</v>
      </c>
      <c r="F11" s="570">
        <v>147000000</v>
      </c>
      <c r="G11" s="570">
        <v>148526435.94</v>
      </c>
      <c r="H11" s="570">
        <f>G11/F11*100</f>
        <v>101.03839179591836</v>
      </c>
      <c r="I11" s="571"/>
    </row>
    <row r="12" spans="1:9" ht="13.5" customHeight="1" thickBot="1">
      <c r="A12" s="568"/>
      <c r="B12" s="574" t="s">
        <v>659</v>
      </c>
      <c r="C12" s="575">
        <f>SUM(C2:C11)</f>
        <v>1218329</v>
      </c>
      <c r="D12" s="575">
        <f>SUM(D2:D11)</f>
        <v>35506</v>
      </c>
      <c r="E12" s="576">
        <f>SUM(E2:E11)</f>
        <v>1182823000</v>
      </c>
      <c r="F12" s="576">
        <f>SUM(F2:F11)</f>
        <v>1204293000</v>
      </c>
      <c r="G12" s="576">
        <f>SUM(G2:G11)</f>
        <v>1227627817.8400002</v>
      </c>
      <c r="H12" s="576">
        <f>G12/F12*100</f>
        <v>101.93763625961458</v>
      </c>
      <c r="I12" s="571" t="s">
        <v>66</v>
      </c>
    </row>
    <row r="13" spans="1:9" ht="13.5" customHeight="1">
      <c r="A13" s="568">
        <v>1332</v>
      </c>
      <c r="B13" s="41" t="s">
        <v>660</v>
      </c>
      <c r="C13" s="569">
        <v>50</v>
      </c>
      <c r="D13" s="569"/>
      <c r="E13" s="570">
        <v>50000</v>
      </c>
      <c r="F13" s="570">
        <v>50000</v>
      </c>
      <c r="G13" s="570">
        <v>5450</v>
      </c>
      <c r="H13" s="570">
        <f>G13/F13*100</f>
        <v>10.9</v>
      </c>
      <c r="I13" s="571" t="s">
        <v>661</v>
      </c>
    </row>
    <row r="14" spans="1:9" ht="13.5" customHeight="1">
      <c r="A14" s="568">
        <v>1334</v>
      </c>
      <c r="B14" s="41" t="s">
        <v>662</v>
      </c>
      <c r="C14" s="569">
        <v>400</v>
      </c>
      <c r="D14" s="569"/>
      <c r="E14" s="570">
        <v>400000</v>
      </c>
      <c r="F14" s="570">
        <v>400000</v>
      </c>
      <c r="G14" s="570">
        <v>76573</v>
      </c>
      <c r="H14" s="570">
        <f>G14/F14*100</f>
        <v>19.143250000000002</v>
      </c>
      <c r="I14" s="571" t="s">
        <v>663</v>
      </c>
    </row>
    <row r="15" spans="1:9" ht="13.5" customHeight="1">
      <c r="A15" s="568">
        <v>1335</v>
      </c>
      <c r="B15" s="41" t="s">
        <v>664</v>
      </c>
      <c r="C15" s="569"/>
      <c r="D15" s="569"/>
      <c r="E15" s="570">
        <v>0</v>
      </c>
      <c r="F15" s="570">
        <v>0</v>
      </c>
      <c r="G15" s="570">
        <v>14019</v>
      </c>
      <c r="H15" s="570">
        <v>0</v>
      </c>
      <c r="I15" s="571"/>
    </row>
    <row r="16" spans="1:9" ht="13.5" customHeight="1">
      <c r="A16" s="568">
        <v>1337</v>
      </c>
      <c r="B16" s="41" t="s">
        <v>665</v>
      </c>
      <c r="C16" s="569">
        <v>43000</v>
      </c>
      <c r="D16" s="569"/>
      <c r="E16" s="570">
        <v>43000000</v>
      </c>
      <c r="F16" s="570">
        <v>43000000</v>
      </c>
      <c r="G16" s="570">
        <v>43212640.53</v>
      </c>
      <c r="H16" s="570">
        <f aca="true" t="shared" si="0" ref="H16:H21">G16/F16*100</f>
        <v>100.49451286046511</v>
      </c>
      <c r="I16" s="571"/>
    </row>
    <row r="17" spans="1:9" ht="13.5" customHeight="1">
      <c r="A17" s="568">
        <v>1341</v>
      </c>
      <c r="B17" s="41" t="s">
        <v>666</v>
      </c>
      <c r="C17" s="569">
        <v>2800</v>
      </c>
      <c r="D17" s="569"/>
      <c r="E17" s="570">
        <v>2800000</v>
      </c>
      <c r="F17" s="570">
        <v>2800000</v>
      </c>
      <c r="G17" s="570">
        <v>2592482</v>
      </c>
      <c r="H17" s="570">
        <f t="shared" si="0"/>
        <v>92.58864285714286</v>
      </c>
      <c r="I17" s="577"/>
    </row>
    <row r="18" spans="1:9" ht="13.5" customHeight="1">
      <c r="A18" s="568">
        <v>1342</v>
      </c>
      <c r="B18" s="41" t="s">
        <v>667</v>
      </c>
      <c r="C18" s="569">
        <v>500</v>
      </c>
      <c r="D18" s="569"/>
      <c r="E18" s="570">
        <v>500000</v>
      </c>
      <c r="F18" s="570">
        <v>500000</v>
      </c>
      <c r="G18" s="570">
        <v>635021</v>
      </c>
      <c r="H18" s="570">
        <f t="shared" si="0"/>
        <v>127.00419999999998</v>
      </c>
      <c r="I18" s="571"/>
    </row>
    <row r="19" spans="1:9" ht="13.5" customHeight="1">
      <c r="A19" s="568">
        <v>1343</v>
      </c>
      <c r="B19" s="41" t="s">
        <v>668</v>
      </c>
      <c r="C19" s="569">
        <v>5000</v>
      </c>
      <c r="D19" s="569"/>
      <c r="E19" s="570">
        <v>5000000</v>
      </c>
      <c r="F19" s="570">
        <v>5000000</v>
      </c>
      <c r="G19" s="570">
        <v>5194028</v>
      </c>
      <c r="H19" s="570">
        <f t="shared" si="0"/>
        <v>103.88056000000002</v>
      </c>
      <c r="I19" s="571"/>
    </row>
    <row r="20" spans="1:9" ht="13.5" customHeight="1">
      <c r="A20" s="568">
        <v>1344</v>
      </c>
      <c r="B20" s="41" t="s">
        <v>669</v>
      </c>
      <c r="C20" s="569">
        <v>90</v>
      </c>
      <c r="D20" s="569"/>
      <c r="E20" s="570">
        <v>90000</v>
      </c>
      <c r="F20" s="570">
        <v>90000</v>
      </c>
      <c r="G20" s="570">
        <v>35417</v>
      </c>
      <c r="H20" s="570">
        <f t="shared" si="0"/>
        <v>39.352222222222224</v>
      </c>
      <c r="I20" s="571"/>
    </row>
    <row r="21" spans="1:9" ht="13.5" customHeight="1">
      <c r="A21" s="568">
        <v>1345</v>
      </c>
      <c r="B21" s="41" t="s">
        <v>670</v>
      </c>
      <c r="C21" s="569">
        <v>1000</v>
      </c>
      <c r="D21" s="569"/>
      <c r="E21" s="570">
        <v>1000000</v>
      </c>
      <c r="F21" s="570">
        <v>1000000</v>
      </c>
      <c r="G21" s="570">
        <v>1688144.47</v>
      </c>
      <c r="H21" s="570">
        <f t="shared" si="0"/>
        <v>168.814447</v>
      </c>
      <c r="I21" s="573"/>
    </row>
    <row r="22" spans="1:9" ht="13.5" customHeight="1">
      <c r="A22" s="568">
        <v>1346</v>
      </c>
      <c r="B22" s="41" t="s">
        <v>671</v>
      </c>
      <c r="C22" s="569"/>
      <c r="D22" s="569"/>
      <c r="E22" s="570">
        <v>0</v>
      </c>
      <c r="F22" s="570">
        <v>0</v>
      </c>
      <c r="G22" s="570">
        <v>90</v>
      </c>
      <c r="H22" s="570">
        <v>0</v>
      </c>
      <c r="I22" s="573"/>
    </row>
    <row r="23" spans="1:9" ht="13.5" customHeight="1">
      <c r="A23" s="568">
        <v>1347</v>
      </c>
      <c r="B23" s="41" t="s">
        <v>672</v>
      </c>
      <c r="C23" s="569">
        <v>15000</v>
      </c>
      <c r="D23" s="569"/>
      <c r="E23" s="570">
        <v>15000000</v>
      </c>
      <c r="F23" s="570">
        <v>10000000</v>
      </c>
      <c r="G23" s="570">
        <v>5256976</v>
      </c>
      <c r="H23" s="570">
        <f>G23/F23*100</f>
        <v>52.56976</v>
      </c>
      <c r="I23" s="571"/>
    </row>
    <row r="24" spans="1:9" ht="13.5" customHeight="1">
      <c r="A24" s="568">
        <v>1347</v>
      </c>
      <c r="B24" s="41" t="s">
        <v>672</v>
      </c>
      <c r="C24" s="569"/>
      <c r="D24" s="569"/>
      <c r="E24" s="570">
        <v>0</v>
      </c>
      <c r="F24" s="570">
        <v>0</v>
      </c>
      <c r="G24" s="570">
        <v>4033381</v>
      </c>
      <c r="H24" s="570">
        <v>0</v>
      </c>
      <c r="I24" s="570" t="s">
        <v>673</v>
      </c>
    </row>
    <row r="25" spans="1:9" ht="13.5" customHeight="1">
      <c r="A25" s="568"/>
      <c r="B25" s="41"/>
      <c r="C25" s="569"/>
      <c r="D25" s="569"/>
      <c r="E25" s="570"/>
      <c r="F25" s="570"/>
      <c r="G25" s="570"/>
      <c r="H25" s="570"/>
      <c r="I25" s="570" t="s">
        <v>674</v>
      </c>
    </row>
    <row r="26" spans="1:11" ht="13.5" customHeight="1">
      <c r="A26" s="568">
        <v>1347</v>
      </c>
      <c r="B26" s="41" t="s">
        <v>672</v>
      </c>
      <c r="C26" s="569">
        <v>0</v>
      </c>
      <c r="D26" s="569">
        <v>0</v>
      </c>
      <c r="E26" s="570">
        <v>0</v>
      </c>
      <c r="F26" s="570">
        <v>0</v>
      </c>
      <c r="G26" s="570">
        <v>1325139</v>
      </c>
      <c r="H26" s="570">
        <v>0</v>
      </c>
      <c r="I26" s="570" t="s">
        <v>673</v>
      </c>
      <c r="J26" s="570"/>
      <c r="K26" s="570">
        <f>G23+G24+G26</f>
        <v>10615496</v>
      </c>
    </row>
    <row r="27" spans="1:10" ht="13.5" customHeight="1">
      <c r="A27" s="568"/>
      <c r="B27" s="41"/>
      <c r="C27" s="569"/>
      <c r="D27" s="569"/>
      <c r="E27" s="570"/>
      <c r="F27" s="570"/>
      <c r="G27" s="570"/>
      <c r="H27" s="570"/>
      <c r="I27" s="570" t="s">
        <v>675</v>
      </c>
      <c r="J27" s="570"/>
    </row>
    <row r="28" spans="1:9" ht="13.5" customHeight="1">
      <c r="A28" s="568">
        <v>1351</v>
      </c>
      <c r="B28" s="41" t="s">
        <v>676</v>
      </c>
      <c r="C28" s="569">
        <v>10000</v>
      </c>
      <c r="D28" s="569"/>
      <c r="E28" s="570">
        <v>10000000</v>
      </c>
      <c r="F28" s="570">
        <v>6000000</v>
      </c>
      <c r="G28" s="570">
        <v>6131969</v>
      </c>
      <c r="H28" s="570">
        <f>G28/F28*100</f>
        <v>102.19948333333333</v>
      </c>
      <c r="I28" s="572"/>
    </row>
    <row r="29" spans="1:9" ht="13.5" customHeight="1">
      <c r="A29" s="568">
        <v>1353</v>
      </c>
      <c r="B29" s="41" t="s">
        <v>677</v>
      </c>
      <c r="C29" s="569"/>
      <c r="D29" s="569"/>
      <c r="E29" s="570"/>
      <c r="F29" s="570"/>
      <c r="G29" s="570"/>
      <c r="H29" s="570"/>
      <c r="I29" s="572"/>
    </row>
    <row r="30" spans="1:9" ht="13.5" customHeight="1">
      <c r="A30" s="568"/>
      <c r="B30" s="41" t="s">
        <v>678</v>
      </c>
      <c r="C30" s="569">
        <v>2700</v>
      </c>
      <c r="D30" s="569"/>
      <c r="E30" s="570">
        <v>2700000</v>
      </c>
      <c r="F30" s="570">
        <v>2700000</v>
      </c>
      <c r="G30" s="570">
        <v>2819490</v>
      </c>
      <c r="H30" s="570">
        <f>G30/F30*100</f>
        <v>104.42555555555555</v>
      </c>
      <c r="I30" s="572"/>
    </row>
    <row r="31" spans="1:9" ht="13.5" customHeight="1">
      <c r="A31" s="568">
        <v>1359</v>
      </c>
      <c r="B31" s="41" t="s">
        <v>679</v>
      </c>
      <c r="C31" s="569"/>
      <c r="D31" s="569"/>
      <c r="E31" s="570">
        <v>0</v>
      </c>
      <c r="F31" s="570">
        <v>0</v>
      </c>
      <c r="G31" s="570">
        <v>570000</v>
      </c>
      <c r="H31" s="570">
        <v>0</v>
      </c>
      <c r="I31" s="572" t="s">
        <v>680</v>
      </c>
    </row>
    <row r="32" spans="1:9" ht="13.5" customHeight="1">
      <c r="A32" s="568">
        <v>1361</v>
      </c>
      <c r="B32" s="41" t="s">
        <v>681</v>
      </c>
      <c r="C32" s="569">
        <v>22000</v>
      </c>
      <c r="D32" s="569"/>
      <c r="E32" s="570">
        <v>22000000</v>
      </c>
      <c r="F32" s="570">
        <v>13000000</v>
      </c>
      <c r="G32" s="570">
        <v>12047200</v>
      </c>
      <c r="H32" s="570">
        <f>G32/F32*100</f>
        <v>92.67076923076924</v>
      </c>
      <c r="I32" s="578" t="s">
        <v>558</v>
      </c>
    </row>
    <row r="33" spans="1:11" ht="13.5" customHeight="1">
      <c r="A33" s="568">
        <v>1361</v>
      </c>
      <c r="B33" s="41" t="s">
        <v>682</v>
      </c>
      <c r="C33" s="569"/>
      <c r="D33" s="569"/>
      <c r="E33" s="570">
        <v>28863000</v>
      </c>
      <c r="F33" s="570">
        <v>23863000</v>
      </c>
      <c r="G33" s="570">
        <v>24348974</v>
      </c>
      <c r="H33" s="570">
        <f>G33/F33*100</f>
        <v>102.0365167833047</v>
      </c>
      <c r="I33" s="579" t="s">
        <v>683</v>
      </c>
      <c r="J33" s="580"/>
      <c r="K33" s="580"/>
    </row>
    <row r="34" spans="1:9" ht="13.5" customHeight="1">
      <c r="A34" s="568"/>
      <c r="B34" s="41"/>
      <c r="C34" s="569"/>
      <c r="D34" s="569"/>
      <c r="E34" s="570"/>
      <c r="F34" s="570"/>
      <c r="G34" s="570"/>
      <c r="H34" s="570"/>
      <c r="I34" s="579" t="s">
        <v>559</v>
      </c>
    </row>
    <row r="35" spans="1:9" ht="13.5" customHeight="1">
      <c r="A35" s="568"/>
      <c r="B35" s="41"/>
      <c r="C35" s="569"/>
      <c r="D35" s="569"/>
      <c r="E35" s="570"/>
      <c r="F35" s="570"/>
      <c r="G35" s="570"/>
      <c r="H35" s="570"/>
      <c r="I35" s="579" t="s">
        <v>684</v>
      </c>
    </row>
    <row r="36" spans="1:9" ht="13.5" customHeight="1">
      <c r="A36" s="568"/>
      <c r="B36" s="41"/>
      <c r="C36" s="569"/>
      <c r="D36" s="569"/>
      <c r="E36" s="570"/>
      <c r="F36" s="570"/>
      <c r="G36" s="570"/>
      <c r="H36" s="570"/>
      <c r="I36" s="581" t="s">
        <v>560</v>
      </c>
    </row>
    <row r="37" spans="1:9" ht="13.5" customHeight="1">
      <c r="A37" s="568"/>
      <c r="B37" s="41"/>
      <c r="C37" s="569"/>
      <c r="D37" s="569"/>
      <c r="E37" s="570"/>
      <c r="F37" s="570"/>
      <c r="G37" s="570"/>
      <c r="H37" s="570"/>
      <c r="I37" s="579" t="s">
        <v>685</v>
      </c>
    </row>
    <row r="38" spans="1:9" ht="13.5" customHeight="1" thickBot="1">
      <c r="A38" s="568"/>
      <c r="B38" s="41"/>
      <c r="C38" s="569"/>
      <c r="D38" s="569"/>
      <c r="E38" s="570"/>
      <c r="F38" s="570"/>
      <c r="G38" s="570"/>
      <c r="H38" s="570"/>
      <c r="I38" s="579" t="s">
        <v>686</v>
      </c>
    </row>
    <row r="39" spans="1:9" ht="13.5" customHeight="1" thickBot="1">
      <c r="A39" s="568"/>
      <c r="B39" s="574" t="s">
        <v>687</v>
      </c>
      <c r="C39" s="582">
        <f>SUM(C13:C35)</f>
        <v>102540</v>
      </c>
      <c r="D39" s="582">
        <f>SUM(D13:D35)</f>
        <v>0</v>
      </c>
      <c r="E39" s="576">
        <f>SUM(E13:E35)</f>
        <v>131403000</v>
      </c>
      <c r="F39" s="576">
        <f>SUM(F13:F35)</f>
        <v>108403000</v>
      </c>
      <c r="G39" s="576">
        <f>SUM(G13:G35)</f>
        <v>109986994</v>
      </c>
      <c r="H39" s="576">
        <f aca="true" t="shared" si="1" ref="H39:H45">G39/F39*100</f>
        <v>101.46120863813732</v>
      </c>
      <c r="I39" s="573"/>
    </row>
    <row r="40" spans="1:9" ht="13.5" customHeight="1" thickBot="1">
      <c r="A40" s="568"/>
      <c r="B40" s="583" t="s">
        <v>688</v>
      </c>
      <c r="C40" s="584">
        <f>C12+C39</f>
        <v>1320869</v>
      </c>
      <c r="D40" s="584">
        <f>D12+D39</f>
        <v>35506</v>
      </c>
      <c r="E40" s="585">
        <f>E12+E39</f>
        <v>1314226000</v>
      </c>
      <c r="F40" s="585">
        <f>F12+F39</f>
        <v>1312696000</v>
      </c>
      <c r="G40" s="585">
        <f>G12+G39</f>
        <v>1337614811.8400002</v>
      </c>
      <c r="H40" s="585">
        <f t="shared" si="1"/>
        <v>101.89829266181967</v>
      </c>
      <c r="I40" s="586"/>
    </row>
    <row r="41" spans="1:9" ht="13.5" customHeight="1">
      <c r="A41" s="568">
        <v>2111</v>
      </c>
      <c r="B41" s="41" t="s">
        <v>689</v>
      </c>
      <c r="C41" s="569">
        <v>1340</v>
      </c>
      <c r="D41" s="569"/>
      <c r="E41" s="570">
        <v>1340000</v>
      </c>
      <c r="F41" s="570">
        <v>1340000</v>
      </c>
      <c r="G41" s="570">
        <v>1562340</v>
      </c>
      <c r="H41" s="570">
        <f t="shared" si="1"/>
        <v>116.59253731343284</v>
      </c>
      <c r="I41" s="571" t="s">
        <v>690</v>
      </c>
    </row>
    <row r="42" spans="1:11" ht="13.5" customHeight="1">
      <c r="A42" s="568">
        <v>2111</v>
      </c>
      <c r="B42" s="41" t="s">
        <v>689</v>
      </c>
      <c r="C42" s="569">
        <v>900</v>
      </c>
      <c r="D42" s="569"/>
      <c r="E42" s="570">
        <v>900000</v>
      </c>
      <c r="F42" s="570">
        <v>900000</v>
      </c>
      <c r="G42" s="570">
        <v>917434</v>
      </c>
      <c r="H42" s="570">
        <f t="shared" si="1"/>
        <v>101.93711111111111</v>
      </c>
      <c r="I42" s="571" t="s">
        <v>691</v>
      </c>
      <c r="K42" s="40" t="s">
        <v>585</v>
      </c>
    </row>
    <row r="43" spans="1:9" ht="13.5" customHeight="1">
      <c r="A43" s="568">
        <v>2111</v>
      </c>
      <c r="B43" s="41" t="s">
        <v>689</v>
      </c>
      <c r="C43" s="569">
        <v>280</v>
      </c>
      <c r="D43" s="569"/>
      <c r="E43" s="570">
        <v>280000</v>
      </c>
      <c r="F43" s="570">
        <v>280000</v>
      </c>
      <c r="G43" s="570">
        <v>320142</v>
      </c>
      <c r="H43" s="570">
        <f t="shared" si="1"/>
        <v>114.33642857142856</v>
      </c>
      <c r="I43" s="571" t="s">
        <v>692</v>
      </c>
    </row>
    <row r="44" spans="1:9" ht="13.5" customHeight="1">
      <c r="A44" s="568">
        <v>2111</v>
      </c>
      <c r="B44" s="41" t="s">
        <v>689</v>
      </c>
      <c r="C44" s="569">
        <v>9</v>
      </c>
      <c r="D44" s="569"/>
      <c r="E44" s="570">
        <v>9000</v>
      </c>
      <c r="F44" s="570">
        <v>9000</v>
      </c>
      <c r="G44" s="570">
        <v>5257</v>
      </c>
      <c r="H44" s="570">
        <f t="shared" si="1"/>
        <v>58.41111111111111</v>
      </c>
      <c r="I44" s="571" t="s">
        <v>693</v>
      </c>
    </row>
    <row r="45" spans="1:9" ht="13.5" customHeight="1">
      <c r="A45" s="568">
        <v>2111</v>
      </c>
      <c r="B45" s="41" t="s">
        <v>689</v>
      </c>
      <c r="C45" s="569">
        <v>2</v>
      </c>
      <c r="D45" s="569"/>
      <c r="E45" s="570">
        <v>2000</v>
      </c>
      <c r="F45" s="570">
        <v>2000</v>
      </c>
      <c r="G45" s="570">
        <v>3678</v>
      </c>
      <c r="H45" s="570">
        <f t="shared" si="1"/>
        <v>183.9</v>
      </c>
      <c r="I45" s="571" t="s">
        <v>694</v>
      </c>
    </row>
    <row r="46" spans="1:9" ht="13.5" customHeight="1">
      <c r="A46" s="568">
        <v>2111</v>
      </c>
      <c r="B46" s="41" t="s">
        <v>689</v>
      </c>
      <c r="C46" s="569"/>
      <c r="D46" s="569"/>
      <c r="E46" s="570">
        <v>0</v>
      </c>
      <c r="F46" s="570">
        <v>0</v>
      </c>
      <c r="G46" s="570">
        <v>89000</v>
      </c>
      <c r="H46" s="570">
        <v>0</v>
      </c>
      <c r="I46" s="571" t="s">
        <v>695</v>
      </c>
    </row>
    <row r="47" spans="1:9" ht="13.5" customHeight="1">
      <c r="A47" s="568">
        <v>2111</v>
      </c>
      <c r="B47" s="41" t="s">
        <v>689</v>
      </c>
      <c r="C47" s="569">
        <v>5145</v>
      </c>
      <c r="D47" s="569"/>
      <c r="E47" s="570">
        <v>5145000</v>
      </c>
      <c r="F47" s="570">
        <v>5145000</v>
      </c>
      <c r="G47" s="570">
        <v>5052468</v>
      </c>
      <c r="H47" s="570">
        <f>G47/F47*100</f>
        <v>98.20151603498543</v>
      </c>
      <c r="I47" s="571" t="s">
        <v>696</v>
      </c>
    </row>
    <row r="48" spans="1:9" ht="13.5" customHeight="1">
      <c r="A48" s="568"/>
      <c r="B48" s="41"/>
      <c r="C48" s="569"/>
      <c r="D48" s="569"/>
      <c r="E48" s="570"/>
      <c r="F48" s="570"/>
      <c r="G48" s="570"/>
      <c r="H48" s="570"/>
      <c r="I48" s="571" t="s">
        <v>697</v>
      </c>
    </row>
    <row r="49" spans="1:9" ht="13.5" customHeight="1">
      <c r="A49" s="568">
        <v>2111</v>
      </c>
      <c r="B49" s="41" t="s">
        <v>689</v>
      </c>
      <c r="C49" s="569"/>
      <c r="D49" s="569"/>
      <c r="E49" s="570">
        <v>0</v>
      </c>
      <c r="F49" s="570">
        <v>96500</v>
      </c>
      <c r="G49" s="570">
        <v>96500</v>
      </c>
      <c r="H49" s="570">
        <f>G49/F49*100</f>
        <v>100</v>
      </c>
      <c r="I49" s="571" t="s">
        <v>698</v>
      </c>
    </row>
    <row r="50" spans="1:9" ht="13.5" customHeight="1">
      <c r="A50" s="568">
        <v>2111</v>
      </c>
      <c r="B50" s="41" t="s">
        <v>689</v>
      </c>
      <c r="C50" s="569"/>
      <c r="D50" s="569"/>
      <c r="E50" s="570">
        <v>0</v>
      </c>
      <c r="F50" s="570">
        <v>0</v>
      </c>
      <c r="G50" s="570">
        <v>37</v>
      </c>
      <c r="H50" s="570">
        <v>0</v>
      </c>
      <c r="I50" s="571" t="s">
        <v>699</v>
      </c>
    </row>
    <row r="51" spans="1:9" ht="13.5" customHeight="1">
      <c r="A51" s="568">
        <v>2112</v>
      </c>
      <c r="B51" s="41" t="s">
        <v>700</v>
      </c>
      <c r="C51" s="569">
        <v>5</v>
      </c>
      <c r="D51" s="569"/>
      <c r="E51" s="570">
        <v>5000</v>
      </c>
      <c r="F51" s="570">
        <v>5000</v>
      </c>
      <c r="G51" s="570">
        <v>10986</v>
      </c>
      <c r="H51" s="570">
        <f>G51/F51*100</f>
        <v>219.72</v>
      </c>
      <c r="I51" s="571" t="s">
        <v>701</v>
      </c>
    </row>
    <row r="52" spans="1:9" ht="13.5" customHeight="1">
      <c r="A52" s="568">
        <v>2122</v>
      </c>
      <c r="B52" s="41" t="s">
        <v>702</v>
      </c>
      <c r="C52" s="569"/>
      <c r="D52" s="569"/>
      <c r="E52" s="570">
        <v>0</v>
      </c>
      <c r="F52" s="570">
        <v>6833000</v>
      </c>
      <c r="G52" s="570">
        <v>6833000</v>
      </c>
      <c r="H52" s="570">
        <f>G52/F52*100</f>
        <v>100</v>
      </c>
      <c r="I52" s="571" t="s">
        <v>703</v>
      </c>
    </row>
    <row r="53" spans="1:9" ht="13.5" customHeight="1">
      <c r="A53" s="568">
        <v>2141</v>
      </c>
      <c r="B53" s="41" t="s">
        <v>704</v>
      </c>
      <c r="C53" s="569">
        <v>3500</v>
      </c>
      <c r="D53" s="569"/>
      <c r="E53" s="570">
        <v>3500000</v>
      </c>
      <c r="F53" s="570">
        <v>3500000</v>
      </c>
      <c r="G53" s="570">
        <v>3926642.94</v>
      </c>
      <c r="H53" s="570">
        <f>G53/F53*100</f>
        <v>112.18979828571429</v>
      </c>
      <c r="I53" s="587"/>
    </row>
    <row r="54" spans="1:9" ht="13.5" customHeight="1">
      <c r="A54" s="568">
        <v>2142</v>
      </c>
      <c r="B54" s="41" t="s">
        <v>705</v>
      </c>
      <c r="C54" s="569"/>
      <c r="D54" s="569"/>
      <c r="E54" s="570">
        <v>0</v>
      </c>
      <c r="F54" s="570">
        <v>0</v>
      </c>
      <c r="G54" s="570">
        <v>608</v>
      </c>
      <c r="H54" s="570">
        <v>0</v>
      </c>
      <c r="I54" s="587" t="s">
        <v>564</v>
      </c>
    </row>
    <row r="55" spans="1:9" s="589" customFormat="1" ht="13.5" customHeight="1">
      <c r="A55" s="568">
        <v>2212</v>
      </c>
      <c r="B55" s="41" t="s">
        <v>706</v>
      </c>
      <c r="C55" s="569">
        <v>1314</v>
      </c>
      <c r="D55" s="569"/>
      <c r="E55" s="570">
        <v>1314000</v>
      </c>
      <c r="F55" s="570">
        <v>1314000</v>
      </c>
      <c r="G55" s="570">
        <f>G56+G57+G58+G59+G60+G61+G62+G63+G64+G65+G66</f>
        <v>1039935</v>
      </c>
      <c r="H55" s="570">
        <f>G55/F55*100</f>
        <v>79.14269406392694</v>
      </c>
      <c r="I55" s="588" t="s">
        <v>565</v>
      </c>
    </row>
    <row r="56" spans="1:9" s="589" customFormat="1" ht="13.5" customHeight="1">
      <c r="A56" s="568"/>
      <c r="B56" s="41"/>
      <c r="C56" s="569"/>
      <c r="D56" s="569"/>
      <c r="E56" s="570"/>
      <c r="F56" s="570"/>
      <c r="G56" s="570">
        <v>81000</v>
      </c>
      <c r="H56" s="570">
        <v>0</v>
      </c>
      <c r="I56" s="571" t="s">
        <v>707</v>
      </c>
    </row>
    <row r="57" spans="1:9" s="589" customFormat="1" ht="13.5" customHeight="1">
      <c r="A57" s="568"/>
      <c r="B57" s="41"/>
      <c r="C57" s="569"/>
      <c r="D57" s="569"/>
      <c r="E57" s="570"/>
      <c r="F57" s="570"/>
      <c r="G57" s="570">
        <v>16000</v>
      </c>
      <c r="H57" s="570">
        <v>0</v>
      </c>
      <c r="I57" s="571" t="s">
        <v>708</v>
      </c>
    </row>
    <row r="58" spans="1:9" s="589" customFormat="1" ht="13.5" customHeight="1">
      <c r="A58" s="568"/>
      <c r="B58" s="41"/>
      <c r="C58" s="569"/>
      <c r="D58" s="569"/>
      <c r="E58" s="570"/>
      <c r="F58" s="570"/>
      <c r="G58" s="570">
        <v>71700</v>
      </c>
      <c r="H58" s="570">
        <v>0</v>
      </c>
      <c r="I58" s="571" t="s">
        <v>709</v>
      </c>
    </row>
    <row r="59" spans="1:9" s="589" customFormat="1" ht="13.5" customHeight="1">
      <c r="A59" s="568"/>
      <c r="B59" s="41"/>
      <c r="C59" s="569"/>
      <c r="D59" s="569"/>
      <c r="E59" s="570"/>
      <c r="F59" s="570"/>
      <c r="G59" s="570">
        <v>14899</v>
      </c>
      <c r="H59" s="570">
        <v>0</v>
      </c>
      <c r="I59" s="571" t="s">
        <v>490</v>
      </c>
    </row>
    <row r="60" spans="1:9" s="589" customFormat="1" ht="13.5" customHeight="1">
      <c r="A60" s="568"/>
      <c r="B60" s="41"/>
      <c r="C60" s="569"/>
      <c r="D60" s="569"/>
      <c r="E60" s="570"/>
      <c r="F60" s="570"/>
      <c r="G60" s="570">
        <v>766136</v>
      </c>
      <c r="H60" s="570">
        <v>0</v>
      </c>
      <c r="I60" s="571" t="s">
        <v>491</v>
      </c>
    </row>
    <row r="61" spans="1:9" s="589" customFormat="1" ht="13.5" customHeight="1">
      <c r="A61" s="568"/>
      <c r="B61" s="41"/>
      <c r="C61" s="569"/>
      <c r="D61" s="569"/>
      <c r="E61" s="570"/>
      <c r="F61" s="570"/>
      <c r="G61" s="570">
        <v>16200</v>
      </c>
      <c r="H61" s="570">
        <v>0</v>
      </c>
      <c r="I61" s="571" t="s">
        <v>492</v>
      </c>
    </row>
    <row r="62" spans="1:9" s="589" customFormat="1" ht="13.5" customHeight="1">
      <c r="A62" s="568"/>
      <c r="B62" s="41"/>
      <c r="C62" s="569"/>
      <c r="D62" s="569"/>
      <c r="E62" s="570"/>
      <c r="F62" s="570"/>
      <c r="G62" s="570">
        <v>48500</v>
      </c>
      <c r="H62" s="570">
        <v>0</v>
      </c>
      <c r="I62" s="571" t="s">
        <v>493</v>
      </c>
    </row>
    <row r="63" spans="1:9" s="589" customFormat="1" ht="13.5" customHeight="1">
      <c r="A63" s="568"/>
      <c r="B63" s="41"/>
      <c r="C63" s="569"/>
      <c r="D63" s="569"/>
      <c r="E63" s="570"/>
      <c r="F63" s="570"/>
      <c r="G63" s="570">
        <v>7500</v>
      </c>
      <c r="H63" s="570">
        <v>0</v>
      </c>
      <c r="I63" s="571" t="s">
        <v>494</v>
      </c>
    </row>
    <row r="64" spans="1:9" s="589" customFormat="1" ht="13.5" customHeight="1">
      <c r="A64" s="568"/>
      <c r="B64" s="41"/>
      <c r="C64" s="569"/>
      <c r="D64" s="569"/>
      <c r="E64" s="570"/>
      <c r="F64" s="570"/>
      <c r="G64" s="570">
        <v>5600</v>
      </c>
      <c r="H64" s="570">
        <v>0</v>
      </c>
      <c r="I64" s="571" t="s">
        <v>495</v>
      </c>
    </row>
    <row r="65" spans="1:9" s="589" customFormat="1" ht="13.5" customHeight="1">
      <c r="A65" s="568"/>
      <c r="B65" s="41"/>
      <c r="C65" s="569"/>
      <c r="D65" s="569"/>
      <c r="E65" s="570"/>
      <c r="F65" s="570"/>
      <c r="G65" s="570">
        <v>10900</v>
      </c>
      <c r="H65" s="570">
        <v>0</v>
      </c>
      <c r="I65" s="571" t="s">
        <v>496</v>
      </c>
    </row>
    <row r="66" spans="1:9" s="589" customFormat="1" ht="13.5" customHeight="1">
      <c r="A66" s="568"/>
      <c r="B66" s="41"/>
      <c r="C66" s="569"/>
      <c r="D66" s="569"/>
      <c r="E66" s="570"/>
      <c r="F66" s="570"/>
      <c r="G66" s="570">
        <v>1500</v>
      </c>
      <c r="H66" s="570">
        <v>0</v>
      </c>
      <c r="I66" s="571" t="s">
        <v>497</v>
      </c>
    </row>
    <row r="67" spans="1:9" s="589" customFormat="1" ht="13.5" customHeight="1">
      <c r="A67" s="568">
        <v>2212</v>
      </c>
      <c r="B67" s="41" t="s">
        <v>706</v>
      </c>
      <c r="C67" s="569">
        <v>1000</v>
      </c>
      <c r="D67" s="569"/>
      <c r="E67" s="570">
        <v>1000000</v>
      </c>
      <c r="F67" s="570">
        <v>1000000</v>
      </c>
      <c r="G67" s="570">
        <v>512500</v>
      </c>
      <c r="H67" s="570">
        <f>G67/F67*100</f>
        <v>51.24999999999999</v>
      </c>
      <c r="I67" s="588" t="s">
        <v>498</v>
      </c>
    </row>
    <row r="68" spans="1:9" s="589" customFormat="1" ht="13.5" customHeight="1">
      <c r="A68" s="568">
        <v>2212</v>
      </c>
      <c r="B68" s="41" t="s">
        <v>706</v>
      </c>
      <c r="C68" s="569">
        <v>5700</v>
      </c>
      <c r="D68" s="569"/>
      <c r="E68" s="570">
        <v>5700000</v>
      </c>
      <c r="F68" s="570">
        <v>5700000</v>
      </c>
      <c r="G68" s="570">
        <v>7466212</v>
      </c>
      <c r="H68" s="570">
        <f>G68/F68*100</f>
        <v>130.9861754385965</v>
      </c>
      <c r="I68" s="588" t="s">
        <v>566</v>
      </c>
    </row>
    <row r="69" spans="1:9" s="589" customFormat="1" ht="13.5" customHeight="1">
      <c r="A69" s="568">
        <v>2212</v>
      </c>
      <c r="B69" s="41" t="s">
        <v>706</v>
      </c>
      <c r="C69" s="569">
        <v>4000</v>
      </c>
      <c r="D69" s="569"/>
      <c r="E69" s="570">
        <v>4000000</v>
      </c>
      <c r="F69" s="570">
        <v>4000000</v>
      </c>
      <c r="G69" s="570">
        <v>4721231</v>
      </c>
      <c r="H69" s="570">
        <f>G69/F69*100</f>
        <v>118.030775</v>
      </c>
      <c r="I69" s="588" t="s">
        <v>499</v>
      </c>
    </row>
    <row r="70" spans="1:9" s="589" customFormat="1" ht="13.5" customHeight="1">
      <c r="A70" s="568">
        <v>2212</v>
      </c>
      <c r="B70" s="41" t="s">
        <v>706</v>
      </c>
      <c r="C70" s="569">
        <v>235</v>
      </c>
      <c r="D70" s="569"/>
      <c r="E70" s="570">
        <v>235000</v>
      </c>
      <c r="F70" s="570">
        <v>235000</v>
      </c>
      <c r="G70" s="570">
        <f>G71+G72</f>
        <v>586707</v>
      </c>
      <c r="H70" s="570">
        <f>G70/F70*100</f>
        <v>249.66255319148937</v>
      </c>
      <c r="I70" s="588" t="s">
        <v>567</v>
      </c>
    </row>
    <row r="71" spans="1:9" s="589" customFormat="1" ht="13.5" customHeight="1">
      <c r="A71" s="568"/>
      <c r="B71" s="41"/>
      <c r="C71" s="569"/>
      <c r="D71" s="569"/>
      <c r="E71" s="570"/>
      <c r="F71" s="570"/>
      <c r="G71" s="570">
        <v>265260</v>
      </c>
      <c r="H71" s="570">
        <v>0</v>
      </c>
      <c r="I71" s="571" t="s">
        <v>500</v>
      </c>
    </row>
    <row r="72" spans="1:9" s="589" customFormat="1" ht="13.5" customHeight="1">
      <c r="A72" s="568"/>
      <c r="B72" s="41"/>
      <c r="C72" s="569"/>
      <c r="D72" s="569"/>
      <c r="E72" s="570"/>
      <c r="F72" s="570"/>
      <c r="G72" s="570">
        <v>321447</v>
      </c>
      <c r="H72" s="570">
        <v>0</v>
      </c>
      <c r="I72" s="571" t="s">
        <v>501</v>
      </c>
    </row>
    <row r="73" spans="1:9" s="589" customFormat="1" ht="13.5" customHeight="1">
      <c r="A73" s="568">
        <v>2222</v>
      </c>
      <c r="B73" s="41" t="s">
        <v>502</v>
      </c>
      <c r="C73" s="569"/>
      <c r="D73" s="569"/>
      <c r="E73" s="570">
        <v>0</v>
      </c>
      <c r="F73" s="570">
        <v>0</v>
      </c>
      <c r="G73" s="570">
        <v>3067694.25</v>
      </c>
      <c r="H73" s="570">
        <v>0</v>
      </c>
      <c r="I73" s="571" t="s">
        <v>503</v>
      </c>
    </row>
    <row r="74" spans="1:9" s="589" customFormat="1" ht="13.5" customHeight="1">
      <c r="A74" s="568">
        <v>2222</v>
      </c>
      <c r="B74" s="41" t="s">
        <v>502</v>
      </c>
      <c r="C74" s="569"/>
      <c r="D74" s="569"/>
      <c r="E74" s="570">
        <v>0</v>
      </c>
      <c r="F74" s="570">
        <v>1192543.44</v>
      </c>
      <c r="G74" s="570">
        <v>1192543.44</v>
      </c>
      <c r="H74" s="570">
        <f>G74/F74*100</f>
        <v>100</v>
      </c>
      <c r="I74" s="571" t="s">
        <v>504</v>
      </c>
    </row>
    <row r="75" spans="1:9" s="589" customFormat="1" ht="13.5" customHeight="1">
      <c r="A75" s="568">
        <v>2229</v>
      </c>
      <c r="B75" s="41" t="s">
        <v>505</v>
      </c>
      <c r="C75" s="569"/>
      <c r="D75" s="569"/>
      <c r="E75" s="570">
        <v>0</v>
      </c>
      <c r="F75" s="570">
        <v>0</v>
      </c>
      <c r="G75" s="570">
        <v>18424</v>
      </c>
      <c r="H75" s="570">
        <v>0</v>
      </c>
      <c r="I75" s="571" t="s">
        <v>506</v>
      </c>
    </row>
    <row r="76" spans="1:9" s="589" customFormat="1" ht="13.5" customHeight="1">
      <c r="A76" s="568">
        <v>2229</v>
      </c>
      <c r="B76" s="41" t="s">
        <v>505</v>
      </c>
      <c r="C76" s="569"/>
      <c r="D76" s="569"/>
      <c r="E76" s="570">
        <v>0</v>
      </c>
      <c r="F76" s="570">
        <v>675979.55</v>
      </c>
      <c r="G76" s="570">
        <v>744634.55</v>
      </c>
      <c r="H76" s="570">
        <f aca="true" t="shared" si="2" ref="H76:H81">G76/F76*100</f>
        <v>110.15637233404472</v>
      </c>
      <c r="I76" s="571" t="s">
        <v>561</v>
      </c>
    </row>
    <row r="77" spans="1:9" s="589" customFormat="1" ht="13.5" customHeight="1">
      <c r="A77" s="568">
        <v>2321</v>
      </c>
      <c r="B77" s="41" t="s">
        <v>507</v>
      </c>
      <c r="C77" s="569"/>
      <c r="D77" s="569"/>
      <c r="E77" s="570">
        <v>0</v>
      </c>
      <c r="F77" s="570">
        <v>12000</v>
      </c>
      <c r="G77" s="570">
        <v>12000</v>
      </c>
      <c r="H77" s="570">
        <f t="shared" si="2"/>
        <v>100</v>
      </c>
      <c r="I77" s="571" t="s">
        <v>508</v>
      </c>
    </row>
    <row r="78" spans="1:9" s="589" customFormat="1" ht="13.5" customHeight="1">
      <c r="A78" s="568">
        <v>2322</v>
      </c>
      <c r="B78" s="41" t="s">
        <v>509</v>
      </c>
      <c r="C78" s="569"/>
      <c r="D78" s="569"/>
      <c r="E78" s="570">
        <v>0</v>
      </c>
      <c r="F78" s="570">
        <v>568802</v>
      </c>
      <c r="G78" s="570">
        <v>793494</v>
      </c>
      <c r="H78" s="570">
        <f t="shared" si="2"/>
        <v>139.5026740412305</v>
      </c>
      <c r="I78" s="571"/>
    </row>
    <row r="79" spans="1:9" s="589" customFormat="1" ht="13.5" customHeight="1">
      <c r="A79" s="568">
        <v>2324</v>
      </c>
      <c r="B79" s="41" t="s">
        <v>510</v>
      </c>
      <c r="C79" s="569"/>
      <c r="D79" s="569"/>
      <c r="E79" s="570">
        <v>0</v>
      </c>
      <c r="F79" s="570">
        <v>235577.5</v>
      </c>
      <c r="G79" s="570">
        <v>235577.5</v>
      </c>
      <c r="H79" s="570">
        <f t="shared" si="2"/>
        <v>100</v>
      </c>
      <c r="I79" s="571" t="s">
        <v>568</v>
      </c>
    </row>
    <row r="80" spans="1:9" s="589" customFormat="1" ht="13.5" customHeight="1">
      <c r="A80" s="568">
        <v>2324</v>
      </c>
      <c r="B80" s="41" t="s">
        <v>510</v>
      </c>
      <c r="C80" s="569"/>
      <c r="D80" s="569"/>
      <c r="E80" s="570">
        <v>0</v>
      </c>
      <c r="F80" s="570">
        <v>41572.5</v>
      </c>
      <c r="G80" s="570">
        <v>41572.5</v>
      </c>
      <c r="H80" s="570">
        <f t="shared" si="2"/>
        <v>100</v>
      </c>
      <c r="I80" s="571" t="s">
        <v>569</v>
      </c>
    </row>
    <row r="81" spans="1:9" s="589" customFormat="1" ht="13.5" customHeight="1">
      <c r="A81" s="568">
        <v>2324</v>
      </c>
      <c r="B81" s="41" t="s">
        <v>510</v>
      </c>
      <c r="C81" s="569"/>
      <c r="D81" s="569"/>
      <c r="E81" s="570">
        <v>0</v>
      </c>
      <c r="F81" s="570">
        <v>185316</v>
      </c>
      <c r="G81" s="570">
        <v>185316</v>
      </c>
      <c r="H81" s="570">
        <f t="shared" si="2"/>
        <v>100</v>
      </c>
      <c r="I81" s="573" t="s">
        <v>570</v>
      </c>
    </row>
    <row r="82" spans="1:9" s="589" customFormat="1" ht="13.5" customHeight="1">
      <c r="A82" s="568">
        <v>2324</v>
      </c>
      <c r="B82" s="41" t="s">
        <v>510</v>
      </c>
      <c r="C82" s="569"/>
      <c r="D82" s="569"/>
      <c r="E82" s="570">
        <v>0</v>
      </c>
      <c r="F82" s="570">
        <v>0</v>
      </c>
      <c r="G82" s="570">
        <v>300</v>
      </c>
      <c r="H82" s="570">
        <v>0</v>
      </c>
      <c r="I82" s="571" t="s">
        <v>511</v>
      </c>
    </row>
    <row r="83" spans="1:9" ht="13.5" customHeight="1">
      <c r="A83" s="568">
        <v>2324</v>
      </c>
      <c r="B83" s="41" t="s">
        <v>510</v>
      </c>
      <c r="C83" s="569">
        <v>10</v>
      </c>
      <c r="D83" s="569"/>
      <c r="E83" s="570">
        <v>10000</v>
      </c>
      <c r="F83" s="570">
        <v>10000</v>
      </c>
      <c r="G83" s="570">
        <v>10000</v>
      </c>
      <c r="H83" s="570">
        <f>G83/F83*100</f>
        <v>100</v>
      </c>
      <c r="I83" s="571" t="s">
        <v>512</v>
      </c>
    </row>
    <row r="84" spans="1:9" ht="13.5" customHeight="1">
      <c r="A84" s="568">
        <v>2324</v>
      </c>
      <c r="B84" s="41" t="s">
        <v>510</v>
      </c>
      <c r="C84" s="569">
        <v>5475</v>
      </c>
      <c r="D84" s="569"/>
      <c r="E84" s="570">
        <v>5475000</v>
      </c>
      <c r="F84" s="570">
        <v>5475000</v>
      </c>
      <c r="G84" s="570">
        <v>5256814</v>
      </c>
      <c r="H84" s="570">
        <f>G84/F84*100</f>
        <v>96.01486757990868</v>
      </c>
      <c r="I84" s="571" t="s">
        <v>513</v>
      </c>
    </row>
    <row r="85" spans="1:9" ht="13.5" customHeight="1">
      <c r="A85" s="568">
        <v>2324</v>
      </c>
      <c r="B85" s="41" t="s">
        <v>510</v>
      </c>
      <c r="C85" s="569">
        <v>3000</v>
      </c>
      <c r="D85" s="569"/>
      <c r="E85" s="570">
        <v>3000000</v>
      </c>
      <c r="F85" s="570">
        <v>3558261.1</v>
      </c>
      <c r="G85" s="570">
        <v>1241951.95</v>
      </c>
      <c r="H85" s="570">
        <f>G85/F85*100</f>
        <v>34.90333944296555</v>
      </c>
      <c r="I85" s="571" t="s">
        <v>514</v>
      </c>
    </row>
    <row r="86" spans="1:9" ht="13.5" customHeight="1">
      <c r="A86" s="568">
        <v>2324</v>
      </c>
      <c r="B86" s="41" t="s">
        <v>510</v>
      </c>
      <c r="C86" s="569">
        <v>100</v>
      </c>
      <c r="D86" s="569"/>
      <c r="E86" s="570">
        <v>100000</v>
      </c>
      <c r="F86" s="570">
        <v>100000</v>
      </c>
      <c r="G86" s="570">
        <v>128500</v>
      </c>
      <c r="H86" s="570">
        <f>G86/F86*100</f>
        <v>128.5</v>
      </c>
      <c r="I86" s="571" t="s">
        <v>515</v>
      </c>
    </row>
    <row r="87" spans="1:9" ht="13.5" customHeight="1">
      <c r="A87" s="568">
        <v>2328</v>
      </c>
      <c r="B87" s="41" t="s">
        <v>516</v>
      </c>
      <c r="C87" s="569"/>
      <c r="D87" s="569"/>
      <c r="E87" s="570">
        <v>0</v>
      </c>
      <c r="F87" s="570">
        <v>0</v>
      </c>
      <c r="G87" s="570">
        <v>6232</v>
      </c>
      <c r="H87" s="570">
        <v>0</v>
      </c>
      <c r="I87" s="571" t="s">
        <v>517</v>
      </c>
    </row>
    <row r="88" spans="1:9" ht="13.5" customHeight="1">
      <c r="A88" s="568">
        <v>2329</v>
      </c>
      <c r="B88" s="41" t="s">
        <v>518</v>
      </c>
      <c r="C88" s="569">
        <v>50</v>
      </c>
      <c r="D88" s="569"/>
      <c r="E88" s="570">
        <v>50000</v>
      </c>
      <c r="F88" s="570">
        <v>230749</v>
      </c>
      <c r="G88" s="570">
        <v>195362.69</v>
      </c>
      <c r="H88" s="570">
        <f>G88/F88*100</f>
        <v>84.66458792887511</v>
      </c>
      <c r="I88" s="571" t="s">
        <v>519</v>
      </c>
    </row>
    <row r="89" spans="1:9" ht="13.5" customHeight="1">
      <c r="A89" s="568"/>
      <c r="B89" s="41"/>
      <c r="C89" s="569"/>
      <c r="D89" s="569"/>
      <c r="E89" s="570"/>
      <c r="F89" s="570"/>
      <c r="G89" s="570"/>
      <c r="H89" s="570"/>
      <c r="I89" s="571" t="s">
        <v>520</v>
      </c>
    </row>
    <row r="90" spans="1:9" ht="13.5" customHeight="1">
      <c r="A90" s="568">
        <v>2329</v>
      </c>
      <c r="B90" s="41" t="s">
        <v>518</v>
      </c>
      <c r="C90" s="569">
        <v>178012</v>
      </c>
      <c r="D90" s="569"/>
      <c r="E90" s="570">
        <v>178012000</v>
      </c>
      <c r="F90" s="570">
        <v>0</v>
      </c>
      <c r="G90" s="570">
        <v>0</v>
      </c>
      <c r="H90" s="570">
        <v>0</v>
      </c>
      <c r="I90" s="571" t="s">
        <v>521</v>
      </c>
    </row>
    <row r="91" spans="1:9" ht="13.5" customHeight="1">
      <c r="A91" s="568"/>
      <c r="B91" s="41"/>
      <c r="C91" s="569"/>
      <c r="D91" s="569"/>
      <c r="E91" s="570"/>
      <c r="F91" s="570"/>
      <c r="G91" s="570"/>
      <c r="H91" s="570"/>
      <c r="I91" s="571" t="s">
        <v>522</v>
      </c>
    </row>
    <row r="92" spans="1:9" ht="13.5" customHeight="1">
      <c r="A92" s="568">
        <v>2343</v>
      </c>
      <c r="B92" s="41" t="s">
        <v>523</v>
      </c>
      <c r="C92" s="569">
        <v>1</v>
      </c>
      <c r="D92" s="569"/>
      <c r="E92" s="570">
        <v>1000</v>
      </c>
      <c r="F92" s="570">
        <v>1000</v>
      </c>
      <c r="G92" s="570">
        <v>2000</v>
      </c>
      <c r="H92" s="570">
        <f>G92/F92*100</f>
        <v>200</v>
      </c>
      <c r="I92" s="571"/>
    </row>
    <row r="93" spans="1:9" ht="13.5" customHeight="1">
      <c r="A93" s="568">
        <v>2460</v>
      </c>
      <c r="B93" s="41" t="s">
        <v>524</v>
      </c>
      <c r="C93" s="569">
        <v>20445</v>
      </c>
      <c r="D93" s="569"/>
      <c r="E93" s="570">
        <v>20445000</v>
      </c>
      <c r="F93" s="570">
        <v>20445000</v>
      </c>
      <c r="G93" s="570">
        <v>19460781.53</v>
      </c>
      <c r="H93" s="570">
        <f>G93/F93*100</f>
        <v>95.1860187331866</v>
      </c>
      <c r="I93" s="571" t="s">
        <v>525</v>
      </c>
    </row>
    <row r="94" spans="1:9" ht="13.5" customHeight="1">
      <c r="A94" s="568"/>
      <c r="B94" s="41"/>
      <c r="C94" s="569"/>
      <c r="D94" s="569"/>
      <c r="E94" s="570"/>
      <c r="F94" s="570"/>
      <c r="G94" s="570"/>
      <c r="H94" s="570"/>
      <c r="I94" s="573" t="s">
        <v>571</v>
      </c>
    </row>
    <row r="95" spans="1:9" ht="13.5" customHeight="1">
      <c r="A95" s="568">
        <v>2460</v>
      </c>
      <c r="B95" s="41" t="s">
        <v>524</v>
      </c>
      <c r="C95" s="569"/>
      <c r="D95" s="569"/>
      <c r="E95" s="570">
        <v>0</v>
      </c>
      <c r="F95" s="570">
        <v>0</v>
      </c>
      <c r="G95" s="570">
        <v>446750</v>
      </c>
      <c r="H95" s="570">
        <v>0</v>
      </c>
      <c r="I95" s="571" t="s">
        <v>526</v>
      </c>
    </row>
    <row r="96" spans="1:9" ht="13.5" customHeight="1" thickBot="1">
      <c r="A96" s="568">
        <v>2460</v>
      </c>
      <c r="B96" s="41" t="s">
        <v>524</v>
      </c>
      <c r="C96" s="569"/>
      <c r="D96" s="569"/>
      <c r="E96" s="570">
        <v>0</v>
      </c>
      <c r="F96" s="570">
        <v>0</v>
      </c>
      <c r="G96" s="570">
        <v>7200</v>
      </c>
      <c r="H96" s="570">
        <v>0</v>
      </c>
      <c r="I96" s="571" t="s">
        <v>527</v>
      </c>
    </row>
    <row r="97" spans="1:9" ht="13.5" customHeight="1" thickBot="1">
      <c r="A97" s="568"/>
      <c r="B97" s="583" t="s">
        <v>528</v>
      </c>
      <c r="C97" s="590">
        <f>SUM(C41:C93)</f>
        <v>230523</v>
      </c>
      <c r="D97" s="590">
        <f>SUM(D41:D93)</f>
        <v>0</v>
      </c>
      <c r="E97" s="585">
        <f>SUM(E41:E95)</f>
        <v>230523000</v>
      </c>
      <c r="F97" s="585">
        <f>SUM(F41:F95)</f>
        <v>63091301.09</v>
      </c>
      <c r="G97" s="585">
        <f>G41+G42+G43+G44+G45+G46+G47+G49+G50+G51+G52+G53+G54+G55+G67+G68+G69+G70+G73+G74+G75+G76+G77+G78+G79+G80+G81+G82+G83+G84+G85+G86+G87+G88+G90+G92+G93+G95+G96</f>
        <v>66191826.349999994</v>
      </c>
      <c r="H97" s="585">
        <f aca="true" t="shared" si="3" ref="H97:H129">G97/F97*100</f>
        <v>104.91434667923092</v>
      </c>
      <c r="I97" s="571"/>
    </row>
    <row r="98" spans="1:9" ht="13.5" customHeight="1">
      <c r="A98" s="568">
        <v>4111</v>
      </c>
      <c r="B98" s="41" t="s">
        <v>529</v>
      </c>
      <c r="C98" s="591"/>
      <c r="D98" s="591"/>
      <c r="E98" s="570">
        <v>0</v>
      </c>
      <c r="F98" s="570">
        <v>2431300</v>
      </c>
      <c r="G98" s="570">
        <v>2431300</v>
      </c>
      <c r="H98" s="570">
        <f t="shared" si="3"/>
        <v>100</v>
      </c>
      <c r="I98" s="573" t="s">
        <v>572</v>
      </c>
    </row>
    <row r="99" spans="1:9" ht="13.5" customHeight="1">
      <c r="A99" s="568">
        <v>4111</v>
      </c>
      <c r="B99" s="41" t="s">
        <v>529</v>
      </c>
      <c r="C99" s="591"/>
      <c r="D99" s="591"/>
      <c r="E99" s="570">
        <v>0</v>
      </c>
      <c r="F99" s="570">
        <v>10969142</v>
      </c>
      <c r="G99" s="570">
        <v>10969142</v>
      </c>
      <c r="H99" s="570">
        <f t="shared" si="3"/>
        <v>100</v>
      </c>
      <c r="I99" s="573" t="s">
        <v>71</v>
      </c>
    </row>
    <row r="100" spans="1:9" ht="13.5" customHeight="1">
      <c r="A100" s="568">
        <v>4111</v>
      </c>
      <c r="B100" s="41" t="s">
        <v>529</v>
      </c>
      <c r="C100" s="591"/>
      <c r="D100" s="591"/>
      <c r="E100" s="570">
        <v>0</v>
      </c>
      <c r="F100" s="570">
        <v>2127000</v>
      </c>
      <c r="G100" s="570">
        <v>2127000</v>
      </c>
      <c r="H100" s="570">
        <f t="shared" si="3"/>
        <v>100</v>
      </c>
      <c r="I100" s="573" t="s">
        <v>72</v>
      </c>
    </row>
    <row r="101" spans="1:9" ht="13.5" customHeight="1">
      <c r="A101" s="568">
        <v>4111</v>
      </c>
      <c r="B101" s="41" t="s">
        <v>529</v>
      </c>
      <c r="C101" s="591"/>
      <c r="D101" s="591"/>
      <c r="E101" s="570">
        <v>0</v>
      </c>
      <c r="F101" s="570">
        <v>3203000</v>
      </c>
      <c r="G101" s="570">
        <v>3203000</v>
      </c>
      <c r="H101" s="570">
        <f t="shared" si="3"/>
        <v>100</v>
      </c>
      <c r="I101" s="573" t="s">
        <v>73</v>
      </c>
    </row>
    <row r="102" spans="1:9" ht="13.5" customHeight="1">
      <c r="A102" s="568">
        <v>4111</v>
      </c>
      <c r="B102" s="41" t="s">
        <v>529</v>
      </c>
      <c r="C102" s="591"/>
      <c r="D102" s="591"/>
      <c r="E102" s="570">
        <v>0</v>
      </c>
      <c r="F102" s="570">
        <v>158633</v>
      </c>
      <c r="G102" s="570">
        <v>158633</v>
      </c>
      <c r="H102" s="570">
        <f t="shared" si="3"/>
        <v>100</v>
      </c>
      <c r="I102" s="573" t="s">
        <v>74</v>
      </c>
    </row>
    <row r="103" spans="1:9" ht="13.5" customHeight="1">
      <c r="A103" s="568">
        <v>4112</v>
      </c>
      <c r="B103" s="41" t="s">
        <v>530</v>
      </c>
      <c r="C103" s="569">
        <v>103000</v>
      </c>
      <c r="D103" s="569"/>
      <c r="E103" s="570">
        <v>121929200</v>
      </c>
      <c r="F103" s="570">
        <v>121865800</v>
      </c>
      <c r="G103" s="570">
        <v>121865800</v>
      </c>
      <c r="H103" s="570">
        <f t="shared" si="3"/>
        <v>100</v>
      </c>
      <c r="I103" s="571" t="s">
        <v>531</v>
      </c>
    </row>
    <row r="104" spans="1:9" ht="13.5" customHeight="1">
      <c r="A104" s="568">
        <v>4113</v>
      </c>
      <c r="B104" s="41" t="s">
        <v>532</v>
      </c>
      <c r="C104" s="569"/>
      <c r="D104" s="569"/>
      <c r="E104" s="570">
        <v>0</v>
      </c>
      <c r="F104" s="570">
        <v>23133.6</v>
      </c>
      <c r="G104" s="570">
        <v>23133.6</v>
      </c>
      <c r="H104" s="570">
        <f t="shared" si="3"/>
        <v>100</v>
      </c>
      <c r="I104" s="573" t="s">
        <v>75</v>
      </c>
    </row>
    <row r="105" spans="1:9" ht="13.5" customHeight="1">
      <c r="A105" s="568">
        <v>4116</v>
      </c>
      <c r="B105" s="41" t="s">
        <v>533</v>
      </c>
      <c r="C105" s="569"/>
      <c r="D105" s="569"/>
      <c r="E105" s="570">
        <v>0</v>
      </c>
      <c r="F105" s="570">
        <v>1569000</v>
      </c>
      <c r="G105" s="570">
        <v>1176069</v>
      </c>
      <c r="H105" s="570">
        <f t="shared" si="3"/>
        <v>74.9565965583174</v>
      </c>
      <c r="I105" s="573" t="s">
        <v>76</v>
      </c>
    </row>
    <row r="106" spans="1:9" ht="13.5" customHeight="1">
      <c r="A106" s="568">
        <v>4116</v>
      </c>
      <c r="B106" s="41" t="s">
        <v>533</v>
      </c>
      <c r="C106" s="569"/>
      <c r="D106" s="569"/>
      <c r="E106" s="570">
        <v>0</v>
      </c>
      <c r="F106" s="570">
        <v>196657000</v>
      </c>
      <c r="G106" s="570">
        <v>196657000</v>
      </c>
      <c r="H106" s="570">
        <f t="shared" si="3"/>
        <v>100</v>
      </c>
      <c r="I106" s="573" t="s">
        <v>77</v>
      </c>
    </row>
    <row r="107" spans="1:9" ht="13.5" customHeight="1">
      <c r="A107" s="568">
        <v>4116</v>
      </c>
      <c r="B107" s="41" t="s">
        <v>533</v>
      </c>
      <c r="C107" s="569"/>
      <c r="D107" s="569"/>
      <c r="E107" s="570">
        <v>0</v>
      </c>
      <c r="F107" s="570">
        <v>76000000</v>
      </c>
      <c r="G107" s="570">
        <v>73500000</v>
      </c>
      <c r="H107" s="570">
        <f t="shared" si="3"/>
        <v>96.71052631578947</v>
      </c>
      <c r="I107" s="573" t="s">
        <v>78</v>
      </c>
    </row>
    <row r="108" spans="1:9" ht="13.5" customHeight="1">
      <c r="A108" s="568">
        <v>4116</v>
      </c>
      <c r="B108" s="41" t="s">
        <v>533</v>
      </c>
      <c r="C108" s="569"/>
      <c r="D108" s="569"/>
      <c r="E108" s="570">
        <v>0</v>
      </c>
      <c r="F108" s="570">
        <v>400000</v>
      </c>
      <c r="G108" s="570">
        <v>400000</v>
      </c>
      <c r="H108" s="570">
        <f t="shared" si="3"/>
        <v>100</v>
      </c>
      <c r="I108" s="573" t="s">
        <v>79</v>
      </c>
    </row>
    <row r="109" spans="1:9" ht="13.5" customHeight="1">
      <c r="A109" s="568">
        <v>4116</v>
      </c>
      <c r="B109" s="41" t="s">
        <v>533</v>
      </c>
      <c r="C109" s="569"/>
      <c r="D109" s="569"/>
      <c r="E109" s="570">
        <v>0</v>
      </c>
      <c r="F109" s="570">
        <f>649800-31</f>
        <v>649769</v>
      </c>
      <c r="G109" s="570">
        <v>649769</v>
      </c>
      <c r="H109" s="570">
        <f t="shared" si="3"/>
        <v>100</v>
      </c>
      <c r="I109" s="573" t="s">
        <v>562</v>
      </c>
    </row>
    <row r="110" spans="1:9" ht="13.5" customHeight="1">
      <c r="A110" s="568">
        <v>4116</v>
      </c>
      <c r="B110" s="41" t="s">
        <v>533</v>
      </c>
      <c r="C110" s="569"/>
      <c r="D110" s="569"/>
      <c r="E110" s="570">
        <v>0</v>
      </c>
      <c r="F110" s="570">
        <v>105000</v>
      </c>
      <c r="G110" s="570">
        <v>105000</v>
      </c>
      <c r="H110" s="570">
        <f t="shared" si="3"/>
        <v>100</v>
      </c>
      <c r="I110" s="573" t="s">
        <v>80</v>
      </c>
    </row>
    <row r="111" spans="1:9" ht="13.5" customHeight="1">
      <c r="A111" s="568">
        <v>4116</v>
      </c>
      <c r="B111" s="41" t="s">
        <v>533</v>
      </c>
      <c r="C111" s="569"/>
      <c r="D111" s="569"/>
      <c r="E111" s="570">
        <v>0</v>
      </c>
      <c r="F111" s="570">
        <v>95000</v>
      </c>
      <c r="G111" s="570">
        <v>95000</v>
      </c>
      <c r="H111" s="570">
        <f t="shared" si="3"/>
        <v>100</v>
      </c>
      <c r="I111" s="573" t="s">
        <v>81</v>
      </c>
    </row>
    <row r="112" spans="1:9" ht="13.5" customHeight="1">
      <c r="A112" s="568">
        <v>4116</v>
      </c>
      <c r="B112" s="41" t="s">
        <v>533</v>
      </c>
      <c r="C112" s="569"/>
      <c r="D112" s="569"/>
      <c r="E112" s="570">
        <v>0</v>
      </c>
      <c r="F112" s="570">
        <v>4170000</v>
      </c>
      <c r="G112" s="570">
        <v>4170000</v>
      </c>
      <c r="H112" s="570">
        <f t="shared" si="3"/>
        <v>100</v>
      </c>
      <c r="I112" s="573" t="s">
        <v>82</v>
      </c>
    </row>
    <row r="113" spans="1:9" ht="13.5" customHeight="1">
      <c r="A113" s="568">
        <v>4116</v>
      </c>
      <c r="B113" s="41" t="s">
        <v>533</v>
      </c>
      <c r="C113" s="569"/>
      <c r="D113" s="569"/>
      <c r="E113" s="570">
        <v>0</v>
      </c>
      <c r="F113" s="570">
        <v>1615000</v>
      </c>
      <c r="G113" s="570">
        <v>1615000</v>
      </c>
      <c r="H113" s="570">
        <f t="shared" si="3"/>
        <v>100</v>
      </c>
      <c r="I113" s="573" t="s">
        <v>83</v>
      </c>
    </row>
    <row r="114" spans="1:9" ht="13.5" customHeight="1">
      <c r="A114" s="568">
        <v>4116</v>
      </c>
      <c r="B114" s="41" t="s">
        <v>533</v>
      </c>
      <c r="C114" s="569"/>
      <c r="D114" s="569"/>
      <c r="E114" s="570">
        <v>0</v>
      </c>
      <c r="F114" s="570">
        <v>45775</v>
      </c>
      <c r="G114" s="570">
        <v>45775</v>
      </c>
      <c r="H114" s="570">
        <f t="shared" si="3"/>
        <v>100</v>
      </c>
      <c r="I114" s="573" t="s">
        <v>84</v>
      </c>
    </row>
    <row r="115" spans="1:9" ht="13.5" customHeight="1">
      <c r="A115" s="568">
        <v>4116</v>
      </c>
      <c r="B115" s="41" t="s">
        <v>533</v>
      </c>
      <c r="C115" s="569"/>
      <c r="D115" s="569"/>
      <c r="E115" s="570">
        <v>0</v>
      </c>
      <c r="F115" s="570">
        <v>610611</v>
      </c>
      <c r="G115" s="570">
        <v>610611</v>
      </c>
      <c r="H115" s="570">
        <f t="shared" si="3"/>
        <v>100</v>
      </c>
      <c r="I115" s="573" t="s">
        <v>85</v>
      </c>
    </row>
    <row r="116" spans="1:9" ht="13.5" customHeight="1">
      <c r="A116" s="568">
        <v>4116</v>
      </c>
      <c r="B116" s="41" t="s">
        <v>533</v>
      </c>
      <c r="C116" s="569"/>
      <c r="D116" s="569"/>
      <c r="E116" s="570">
        <v>0</v>
      </c>
      <c r="F116" s="570">
        <v>169000</v>
      </c>
      <c r="G116" s="570">
        <v>169000</v>
      </c>
      <c r="H116" s="570">
        <f t="shared" si="3"/>
        <v>100</v>
      </c>
      <c r="I116" s="573" t="s">
        <v>86</v>
      </c>
    </row>
    <row r="117" spans="1:9" ht="13.5" customHeight="1">
      <c r="A117" s="568">
        <v>4116</v>
      </c>
      <c r="B117" s="41" t="s">
        <v>533</v>
      </c>
      <c r="C117" s="569"/>
      <c r="D117" s="569"/>
      <c r="E117" s="570">
        <v>0</v>
      </c>
      <c r="F117" s="570">
        <v>7350</v>
      </c>
      <c r="G117" s="570">
        <v>7350</v>
      </c>
      <c r="H117" s="570">
        <f t="shared" si="3"/>
        <v>100</v>
      </c>
      <c r="I117" s="573" t="s">
        <v>87</v>
      </c>
    </row>
    <row r="118" spans="1:9" ht="13.5" customHeight="1">
      <c r="A118" s="568">
        <v>4116</v>
      </c>
      <c r="B118" s="41" t="s">
        <v>533</v>
      </c>
      <c r="C118" s="569"/>
      <c r="D118" s="569"/>
      <c r="E118" s="570">
        <v>0</v>
      </c>
      <c r="F118" s="570">
        <v>41650</v>
      </c>
      <c r="G118" s="570">
        <v>41650</v>
      </c>
      <c r="H118" s="570">
        <f t="shared" si="3"/>
        <v>100</v>
      </c>
      <c r="I118" s="573" t="s">
        <v>734</v>
      </c>
    </row>
    <row r="119" spans="1:9" ht="13.5" customHeight="1">
      <c r="A119" s="568">
        <v>4116</v>
      </c>
      <c r="B119" s="41" t="s">
        <v>533</v>
      </c>
      <c r="C119" s="569">
        <v>0</v>
      </c>
      <c r="D119" s="569"/>
      <c r="E119" s="570">
        <v>0</v>
      </c>
      <c r="F119" s="570">
        <v>35700</v>
      </c>
      <c r="G119" s="570">
        <v>35700</v>
      </c>
      <c r="H119" s="570">
        <f t="shared" si="3"/>
        <v>100</v>
      </c>
      <c r="I119" s="573" t="s">
        <v>735</v>
      </c>
    </row>
    <row r="120" spans="1:9" ht="13.5" customHeight="1">
      <c r="A120" s="568">
        <v>4116</v>
      </c>
      <c r="B120" s="41" t="s">
        <v>533</v>
      </c>
      <c r="C120" s="569">
        <v>0</v>
      </c>
      <c r="D120" s="569"/>
      <c r="E120" s="570">
        <v>0</v>
      </c>
      <c r="F120" s="570">
        <v>2155074</v>
      </c>
      <c r="G120" s="570">
        <v>2155074</v>
      </c>
      <c r="H120" s="570">
        <f t="shared" si="3"/>
        <v>100</v>
      </c>
      <c r="I120" s="573" t="s">
        <v>736</v>
      </c>
    </row>
    <row r="121" spans="1:9" ht="13.5" customHeight="1">
      <c r="A121" s="568">
        <v>4116</v>
      </c>
      <c r="B121" s="41" t="s">
        <v>533</v>
      </c>
      <c r="C121" s="569">
        <v>0</v>
      </c>
      <c r="D121" s="569"/>
      <c r="E121" s="570">
        <v>0</v>
      </c>
      <c r="F121" s="570">
        <v>4707288.78</v>
      </c>
      <c r="G121" s="570">
        <v>4707288.78</v>
      </c>
      <c r="H121" s="570">
        <f t="shared" si="3"/>
        <v>100</v>
      </c>
      <c r="I121" s="573" t="s">
        <v>737</v>
      </c>
    </row>
    <row r="122" spans="1:9" ht="13.5" customHeight="1">
      <c r="A122" s="568">
        <v>4116</v>
      </c>
      <c r="B122" s="41" t="s">
        <v>533</v>
      </c>
      <c r="C122" s="569">
        <v>0</v>
      </c>
      <c r="D122" s="569"/>
      <c r="E122" s="570">
        <v>0</v>
      </c>
      <c r="F122" s="570">
        <v>830698.02</v>
      </c>
      <c r="G122" s="570">
        <v>830698.02</v>
      </c>
      <c r="H122" s="570">
        <f t="shared" si="3"/>
        <v>100</v>
      </c>
      <c r="I122" s="573" t="s">
        <v>738</v>
      </c>
    </row>
    <row r="123" spans="1:9" ht="13.5" customHeight="1">
      <c r="A123" s="568">
        <v>4116</v>
      </c>
      <c r="B123" s="41" t="s">
        <v>533</v>
      </c>
      <c r="C123" s="569">
        <v>0</v>
      </c>
      <c r="D123" s="569"/>
      <c r="E123" s="570">
        <v>0</v>
      </c>
      <c r="F123" s="570">
        <v>393271.2</v>
      </c>
      <c r="G123" s="570">
        <v>393271.2</v>
      </c>
      <c r="H123" s="570">
        <f t="shared" si="3"/>
        <v>100</v>
      </c>
      <c r="I123" s="573" t="s">
        <v>739</v>
      </c>
    </row>
    <row r="124" spans="1:9" ht="13.5" customHeight="1">
      <c r="A124" s="568">
        <v>4119</v>
      </c>
      <c r="B124" s="41" t="s">
        <v>534</v>
      </c>
      <c r="C124" s="569">
        <v>0</v>
      </c>
      <c r="D124" s="569"/>
      <c r="E124" s="570">
        <v>0</v>
      </c>
      <c r="F124" s="570">
        <v>57000</v>
      </c>
      <c r="G124" s="570">
        <v>57000</v>
      </c>
      <c r="H124" s="570">
        <f t="shared" si="3"/>
        <v>100</v>
      </c>
      <c r="I124" s="573" t="s">
        <v>740</v>
      </c>
    </row>
    <row r="125" spans="1:9" ht="13.5" customHeight="1">
      <c r="A125" s="568">
        <v>4119</v>
      </c>
      <c r="B125" s="41" t="s">
        <v>534</v>
      </c>
      <c r="C125" s="569">
        <v>0</v>
      </c>
      <c r="D125" s="569"/>
      <c r="E125" s="570">
        <v>0</v>
      </c>
      <c r="F125" s="570">
        <v>591886.08</v>
      </c>
      <c r="G125" s="570">
        <v>591886.08</v>
      </c>
      <c r="H125" s="570">
        <f t="shared" si="3"/>
        <v>100</v>
      </c>
      <c r="I125" s="573" t="s">
        <v>741</v>
      </c>
    </row>
    <row r="126" spans="1:9" ht="13.5" customHeight="1">
      <c r="A126" s="568">
        <v>4121</v>
      </c>
      <c r="B126" s="41" t="s">
        <v>535</v>
      </c>
      <c r="C126" s="569">
        <v>1800</v>
      </c>
      <c r="D126" s="569"/>
      <c r="E126" s="570">
        <v>1800000</v>
      </c>
      <c r="F126" s="570">
        <v>1800000</v>
      </c>
      <c r="G126" s="570">
        <v>1819947</v>
      </c>
      <c r="H126" s="570">
        <f t="shared" si="3"/>
        <v>101.10816666666666</v>
      </c>
      <c r="I126" s="571" t="s">
        <v>536</v>
      </c>
    </row>
    <row r="127" spans="1:9" ht="13.5" customHeight="1">
      <c r="A127" s="568">
        <v>4121</v>
      </c>
      <c r="B127" s="41" t="s">
        <v>535</v>
      </c>
      <c r="C127" s="569">
        <v>200</v>
      </c>
      <c r="D127" s="569"/>
      <c r="E127" s="570">
        <v>200000</v>
      </c>
      <c r="F127" s="570">
        <v>200000</v>
      </c>
      <c r="G127" s="570">
        <v>168000</v>
      </c>
      <c r="H127" s="570">
        <f t="shared" si="3"/>
        <v>84</v>
      </c>
      <c r="I127" s="571" t="s">
        <v>537</v>
      </c>
    </row>
    <row r="128" spans="1:9" ht="13.5" customHeight="1">
      <c r="A128" s="568">
        <v>4122</v>
      </c>
      <c r="B128" s="41" t="s">
        <v>538</v>
      </c>
      <c r="C128" s="569"/>
      <c r="D128" s="569"/>
      <c r="E128" s="570">
        <v>0</v>
      </c>
      <c r="F128" s="570">
        <v>1696000</v>
      </c>
      <c r="G128" s="570">
        <v>1696000</v>
      </c>
      <c r="H128" s="570">
        <f t="shared" si="3"/>
        <v>100</v>
      </c>
      <c r="I128" s="573" t="s">
        <v>742</v>
      </c>
    </row>
    <row r="129" spans="1:9" ht="13.5" customHeight="1">
      <c r="A129" s="568">
        <v>4122</v>
      </c>
      <c r="B129" s="41" t="s">
        <v>538</v>
      </c>
      <c r="C129" s="569"/>
      <c r="D129" s="569"/>
      <c r="E129" s="570">
        <v>0</v>
      </c>
      <c r="F129" s="570">
        <v>910000</v>
      </c>
      <c r="G129" s="570">
        <v>910000</v>
      </c>
      <c r="H129" s="570">
        <f t="shared" si="3"/>
        <v>100</v>
      </c>
      <c r="I129" s="573" t="s">
        <v>743</v>
      </c>
    </row>
    <row r="130" spans="1:9" ht="13.5" customHeight="1">
      <c r="A130" s="568"/>
      <c r="B130" s="41"/>
      <c r="C130" s="569"/>
      <c r="D130" s="569"/>
      <c r="E130" s="570"/>
      <c r="F130" s="570"/>
      <c r="G130" s="570"/>
      <c r="H130" s="570"/>
      <c r="I130" s="571" t="s">
        <v>539</v>
      </c>
    </row>
    <row r="131" spans="1:9" ht="13.5" customHeight="1">
      <c r="A131" s="568">
        <v>4122</v>
      </c>
      <c r="B131" s="41" t="s">
        <v>538</v>
      </c>
      <c r="C131" s="569"/>
      <c r="D131" s="569"/>
      <c r="E131" s="570">
        <v>0</v>
      </c>
      <c r="F131" s="570">
        <v>2251088</v>
      </c>
      <c r="G131" s="570">
        <v>2251088</v>
      </c>
      <c r="H131" s="570">
        <f aca="true" t="shared" si="4" ref="H131:H143">G131/F131*100</f>
        <v>100</v>
      </c>
      <c r="I131" s="573" t="s">
        <v>744</v>
      </c>
    </row>
    <row r="132" spans="1:9" ht="13.5" customHeight="1">
      <c r="A132" s="568">
        <v>4122</v>
      </c>
      <c r="B132" s="41" t="s">
        <v>538</v>
      </c>
      <c r="C132" s="569"/>
      <c r="D132" s="569"/>
      <c r="E132" s="570">
        <v>0</v>
      </c>
      <c r="F132" s="570">
        <v>60000</v>
      </c>
      <c r="G132" s="570">
        <v>60000</v>
      </c>
      <c r="H132" s="570">
        <f t="shared" si="4"/>
        <v>100</v>
      </c>
      <c r="I132" s="573" t="s">
        <v>573</v>
      </c>
    </row>
    <row r="133" spans="1:9" ht="13.5" customHeight="1">
      <c r="A133" s="568">
        <v>4122</v>
      </c>
      <c r="B133" s="41" t="s">
        <v>538</v>
      </c>
      <c r="C133" s="569"/>
      <c r="D133" s="569"/>
      <c r="E133" s="570">
        <v>0</v>
      </c>
      <c r="F133" s="570">
        <v>350000</v>
      </c>
      <c r="G133" s="570">
        <v>350000</v>
      </c>
      <c r="H133" s="570">
        <f t="shared" si="4"/>
        <v>100</v>
      </c>
      <c r="I133" s="573" t="s">
        <v>574</v>
      </c>
    </row>
    <row r="134" spans="1:9" ht="13.5" customHeight="1">
      <c r="A134" s="568">
        <v>4122</v>
      </c>
      <c r="B134" s="41" t="s">
        <v>538</v>
      </c>
      <c r="C134" s="569"/>
      <c r="D134" s="569"/>
      <c r="E134" s="570">
        <v>0</v>
      </c>
      <c r="F134" s="570">
        <v>3503314</v>
      </c>
      <c r="G134" s="570">
        <v>3503314</v>
      </c>
      <c r="H134" s="570">
        <f t="shared" si="4"/>
        <v>100</v>
      </c>
      <c r="I134" s="573" t="s">
        <v>575</v>
      </c>
    </row>
    <row r="135" spans="1:9" ht="13.5" customHeight="1">
      <c r="A135" s="568">
        <v>4122</v>
      </c>
      <c r="B135" s="41" t="s">
        <v>538</v>
      </c>
      <c r="C135" s="569"/>
      <c r="D135" s="569"/>
      <c r="E135" s="570">
        <v>0</v>
      </c>
      <c r="F135" s="570">
        <v>205000</v>
      </c>
      <c r="G135" s="570">
        <v>205000</v>
      </c>
      <c r="H135" s="570">
        <f t="shared" si="4"/>
        <v>100</v>
      </c>
      <c r="I135" s="573" t="s">
        <v>576</v>
      </c>
    </row>
    <row r="136" spans="1:9" ht="13.5" customHeight="1">
      <c r="A136" s="568">
        <v>4122</v>
      </c>
      <c r="B136" s="41" t="s">
        <v>538</v>
      </c>
      <c r="C136" s="569"/>
      <c r="D136" s="569"/>
      <c r="E136" s="570">
        <v>0</v>
      </c>
      <c r="F136" s="570">
        <v>12000</v>
      </c>
      <c r="G136" s="570">
        <v>12000</v>
      </c>
      <c r="H136" s="570">
        <f t="shared" si="4"/>
        <v>100</v>
      </c>
      <c r="I136" s="573" t="s">
        <v>577</v>
      </c>
    </row>
    <row r="137" spans="1:9" ht="13.5" customHeight="1">
      <c r="A137" s="568">
        <v>4122</v>
      </c>
      <c r="B137" s="41" t="s">
        <v>538</v>
      </c>
      <c r="C137" s="569"/>
      <c r="D137" s="569"/>
      <c r="E137" s="570">
        <v>0</v>
      </c>
      <c r="F137" s="570">
        <v>67327</v>
      </c>
      <c r="G137" s="570">
        <v>67327</v>
      </c>
      <c r="H137" s="570">
        <f t="shared" si="4"/>
        <v>100</v>
      </c>
      <c r="I137" s="573" t="s">
        <v>578</v>
      </c>
    </row>
    <row r="138" spans="1:9" ht="13.5" customHeight="1">
      <c r="A138" s="568">
        <v>4122</v>
      </c>
      <c r="B138" s="41" t="s">
        <v>538</v>
      </c>
      <c r="C138" s="569"/>
      <c r="D138" s="569"/>
      <c r="E138" s="570">
        <v>0</v>
      </c>
      <c r="F138" s="570">
        <v>14300</v>
      </c>
      <c r="G138" s="570">
        <v>14300</v>
      </c>
      <c r="H138" s="570">
        <f t="shared" si="4"/>
        <v>100</v>
      </c>
      <c r="I138" s="573" t="s">
        <v>579</v>
      </c>
    </row>
    <row r="139" spans="1:9" ht="13.5" customHeight="1">
      <c r="A139" s="568">
        <v>4122</v>
      </c>
      <c r="B139" s="41" t="s">
        <v>538</v>
      </c>
      <c r="C139" s="569"/>
      <c r="D139" s="569"/>
      <c r="E139" s="570">
        <v>0</v>
      </c>
      <c r="F139" s="570">
        <v>272840.59</v>
      </c>
      <c r="G139" s="570">
        <v>272840.59</v>
      </c>
      <c r="H139" s="570">
        <f t="shared" si="4"/>
        <v>100</v>
      </c>
      <c r="I139" s="573" t="s">
        <v>580</v>
      </c>
    </row>
    <row r="140" spans="1:9" ht="13.5" customHeight="1">
      <c r="A140" s="568">
        <v>4122</v>
      </c>
      <c r="B140" s="41" t="s">
        <v>538</v>
      </c>
      <c r="C140" s="569"/>
      <c r="D140" s="569"/>
      <c r="E140" s="570">
        <v>0</v>
      </c>
      <c r="F140" s="570">
        <v>1546096.65</v>
      </c>
      <c r="G140" s="570">
        <v>1546096.65</v>
      </c>
      <c r="H140" s="570">
        <f t="shared" si="4"/>
        <v>100</v>
      </c>
      <c r="I140" s="573" t="s">
        <v>581</v>
      </c>
    </row>
    <row r="141" spans="1:9" ht="13.5" customHeight="1">
      <c r="A141" s="568">
        <v>4122</v>
      </c>
      <c r="B141" s="41" t="s">
        <v>538</v>
      </c>
      <c r="C141" s="569"/>
      <c r="D141" s="569"/>
      <c r="E141" s="570">
        <v>0</v>
      </c>
      <c r="F141" s="570">
        <v>95630.41</v>
      </c>
      <c r="G141" s="570">
        <v>95630.41</v>
      </c>
      <c r="H141" s="570">
        <f t="shared" si="4"/>
        <v>100</v>
      </c>
      <c r="I141" s="573" t="s">
        <v>582</v>
      </c>
    </row>
    <row r="142" spans="1:9" ht="13.5" customHeight="1">
      <c r="A142" s="568">
        <v>4122</v>
      </c>
      <c r="B142" s="41" t="s">
        <v>538</v>
      </c>
      <c r="C142" s="569"/>
      <c r="D142" s="569"/>
      <c r="E142" s="570">
        <v>0</v>
      </c>
      <c r="F142" s="570">
        <v>541905.65</v>
      </c>
      <c r="G142" s="570">
        <v>541905.65</v>
      </c>
      <c r="H142" s="570">
        <f t="shared" si="4"/>
        <v>100</v>
      </c>
      <c r="I142" s="573" t="s">
        <v>583</v>
      </c>
    </row>
    <row r="143" spans="1:9" ht="13.5" customHeight="1">
      <c r="A143" s="568">
        <v>4122</v>
      </c>
      <c r="B143" s="41" t="s">
        <v>538</v>
      </c>
      <c r="C143" s="569"/>
      <c r="D143" s="569"/>
      <c r="E143" s="570">
        <v>0</v>
      </c>
      <c r="F143" s="570">
        <v>25000</v>
      </c>
      <c r="G143" s="570">
        <v>25000</v>
      </c>
      <c r="H143" s="570">
        <f t="shared" si="4"/>
        <v>100</v>
      </c>
      <c r="I143" s="573" t="s">
        <v>584</v>
      </c>
    </row>
    <row r="144" spans="1:9" ht="13.5" customHeight="1">
      <c r="A144" s="568"/>
      <c r="B144" s="41"/>
      <c r="C144" s="569"/>
      <c r="D144" s="569"/>
      <c r="E144" s="570"/>
      <c r="F144" s="570"/>
      <c r="G144" s="570"/>
      <c r="H144" s="570"/>
      <c r="I144" s="571" t="s">
        <v>540</v>
      </c>
    </row>
    <row r="145" spans="1:9" ht="13.5" customHeight="1">
      <c r="A145" s="568">
        <v>4122</v>
      </c>
      <c r="B145" s="41" t="s">
        <v>538</v>
      </c>
      <c r="C145" s="569"/>
      <c r="D145" s="569"/>
      <c r="E145" s="570">
        <v>0</v>
      </c>
      <c r="F145" s="570">
        <v>76045</v>
      </c>
      <c r="G145" s="570">
        <v>76045</v>
      </c>
      <c r="H145" s="570">
        <f>G145/F145*100</f>
        <v>100</v>
      </c>
      <c r="I145" s="573" t="s">
        <v>96</v>
      </c>
    </row>
    <row r="146" spans="1:9" ht="13.5" customHeight="1">
      <c r="A146" s="568">
        <v>4122</v>
      </c>
      <c r="B146" s="41" t="s">
        <v>538</v>
      </c>
      <c r="C146" s="569"/>
      <c r="D146" s="569"/>
      <c r="E146" s="570">
        <v>0</v>
      </c>
      <c r="F146" s="570">
        <v>77010</v>
      </c>
      <c r="G146" s="570">
        <v>77010</v>
      </c>
      <c r="H146" s="570">
        <f>G146/F146*100</f>
        <v>100</v>
      </c>
      <c r="I146" s="573" t="s">
        <v>97</v>
      </c>
    </row>
    <row r="147" spans="1:9" ht="13.5" customHeight="1">
      <c r="A147" s="568">
        <v>4131</v>
      </c>
      <c r="B147" s="41" t="s">
        <v>541</v>
      </c>
      <c r="C147" s="569">
        <v>404995</v>
      </c>
      <c r="D147" s="569">
        <v>151372</v>
      </c>
      <c r="E147" s="570">
        <v>253623000</v>
      </c>
      <c r="F147" s="570">
        <v>349107476</v>
      </c>
      <c r="G147" s="570">
        <v>277500000</v>
      </c>
      <c r="H147" s="570">
        <f>G147/F147*100</f>
        <v>79.48841519509597</v>
      </c>
      <c r="I147" s="571" t="s">
        <v>542</v>
      </c>
    </row>
    <row r="148" spans="1:9" ht="13.5" customHeight="1">
      <c r="A148" s="568"/>
      <c r="B148" s="41"/>
      <c r="C148" s="569"/>
      <c r="D148" s="569"/>
      <c r="E148" s="570"/>
      <c r="F148" s="570"/>
      <c r="G148" s="570"/>
      <c r="H148" s="570"/>
      <c r="I148" s="592" t="s">
        <v>543</v>
      </c>
    </row>
    <row r="149" spans="1:9" ht="13.5" customHeight="1">
      <c r="A149" s="568"/>
      <c r="B149" s="41"/>
      <c r="C149" s="569"/>
      <c r="D149" s="569"/>
      <c r="E149" s="570"/>
      <c r="F149" s="570"/>
      <c r="G149" s="570"/>
      <c r="H149" s="570"/>
      <c r="I149" s="573" t="s">
        <v>278</v>
      </c>
    </row>
    <row r="150" spans="1:9" ht="13.5" customHeight="1">
      <c r="A150" s="568"/>
      <c r="B150" s="41"/>
      <c r="C150" s="569"/>
      <c r="D150" s="569"/>
      <c r="E150" s="570"/>
      <c r="F150" s="570"/>
      <c r="G150" s="570"/>
      <c r="H150" s="570"/>
      <c r="I150" s="592" t="s">
        <v>544</v>
      </c>
    </row>
    <row r="151" spans="1:9" ht="13.5" customHeight="1">
      <c r="A151" s="568">
        <v>4132</v>
      </c>
      <c r="B151" s="41" t="s">
        <v>545</v>
      </c>
      <c r="C151" s="569"/>
      <c r="D151" s="569"/>
      <c r="E151" s="570">
        <v>0</v>
      </c>
      <c r="F151" s="570">
        <v>0</v>
      </c>
      <c r="G151" s="570">
        <v>1600000</v>
      </c>
      <c r="H151" s="570">
        <v>0</v>
      </c>
      <c r="I151" s="592" t="s">
        <v>546</v>
      </c>
    </row>
    <row r="152" spans="1:9" ht="13.5" customHeight="1">
      <c r="A152" s="568">
        <v>4132</v>
      </c>
      <c r="B152" s="41" t="s">
        <v>545</v>
      </c>
      <c r="C152" s="569"/>
      <c r="D152" s="569"/>
      <c r="E152" s="570">
        <v>0</v>
      </c>
      <c r="F152" s="570">
        <v>13368097.84</v>
      </c>
      <c r="G152" s="570">
        <v>13368097.84</v>
      </c>
      <c r="H152" s="570">
        <f aca="true" t="shared" si="5" ref="H152:H169">G152/F152*100</f>
        <v>100</v>
      </c>
      <c r="I152" s="592" t="s">
        <v>547</v>
      </c>
    </row>
    <row r="153" spans="1:9" ht="13.5" customHeight="1">
      <c r="A153" s="568">
        <v>4153</v>
      </c>
      <c r="B153" s="41" t="s">
        <v>548</v>
      </c>
      <c r="C153" s="569"/>
      <c r="D153" s="569"/>
      <c r="E153" s="570">
        <v>0</v>
      </c>
      <c r="F153" s="570">
        <v>576913.67</v>
      </c>
      <c r="G153" s="570">
        <v>576913.67</v>
      </c>
      <c r="H153" s="570">
        <f t="shared" si="5"/>
        <v>100</v>
      </c>
      <c r="I153" s="593" t="s">
        <v>279</v>
      </c>
    </row>
    <row r="154" spans="1:9" ht="13.5" customHeight="1">
      <c r="A154" s="568">
        <v>4213</v>
      </c>
      <c r="B154" s="41" t="s">
        <v>549</v>
      </c>
      <c r="C154" s="569"/>
      <c r="D154" s="569"/>
      <c r="E154" s="570">
        <v>0</v>
      </c>
      <c r="F154" s="570">
        <v>2009000</v>
      </c>
      <c r="G154" s="570">
        <v>2009000</v>
      </c>
      <c r="H154" s="570">
        <f t="shared" si="5"/>
        <v>100</v>
      </c>
      <c r="I154" s="593" t="s">
        <v>280</v>
      </c>
    </row>
    <row r="155" spans="1:9" ht="13.5" customHeight="1">
      <c r="A155" s="568">
        <v>4216</v>
      </c>
      <c r="B155" s="41" t="s">
        <v>550</v>
      </c>
      <c r="C155" s="569">
        <v>0</v>
      </c>
      <c r="D155" s="569">
        <v>0</v>
      </c>
      <c r="E155" s="570">
        <v>0</v>
      </c>
      <c r="F155" s="570">
        <v>221399</v>
      </c>
      <c r="G155" s="570">
        <v>221399</v>
      </c>
      <c r="H155" s="570">
        <f t="shared" si="5"/>
        <v>100</v>
      </c>
      <c r="I155" s="593" t="s">
        <v>281</v>
      </c>
    </row>
    <row r="156" spans="1:9" ht="13.5" customHeight="1">
      <c r="A156" s="568">
        <v>4216</v>
      </c>
      <c r="B156" s="41" t="s">
        <v>550</v>
      </c>
      <c r="C156" s="569">
        <v>0</v>
      </c>
      <c r="D156" s="569">
        <v>0</v>
      </c>
      <c r="E156" s="570">
        <v>0</v>
      </c>
      <c r="F156" s="570">
        <v>400050</v>
      </c>
      <c r="G156" s="570">
        <v>400050</v>
      </c>
      <c r="H156" s="570">
        <f t="shared" si="5"/>
        <v>100</v>
      </c>
      <c r="I156" s="593" t="s">
        <v>282</v>
      </c>
    </row>
    <row r="157" spans="1:9" ht="13.5" customHeight="1">
      <c r="A157" s="568">
        <v>4216</v>
      </c>
      <c r="B157" s="41" t="s">
        <v>550</v>
      </c>
      <c r="C157" s="569">
        <v>0</v>
      </c>
      <c r="D157" s="569">
        <v>0</v>
      </c>
      <c r="E157" s="570">
        <v>0</v>
      </c>
      <c r="F157" s="570">
        <v>2266950</v>
      </c>
      <c r="G157" s="570">
        <v>2266950</v>
      </c>
      <c r="H157" s="570">
        <f t="shared" si="5"/>
        <v>100</v>
      </c>
      <c r="I157" s="593" t="s">
        <v>283</v>
      </c>
    </row>
    <row r="158" spans="1:9" ht="13.5" customHeight="1">
      <c r="A158" s="568">
        <v>4216</v>
      </c>
      <c r="B158" s="41" t="s">
        <v>550</v>
      </c>
      <c r="C158" s="569">
        <v>0</v>
      </c>
      <c r="D158" s="569">
        <v>0</v>
      </c>
      <c r="E158" s="570">
        <v>0</v>
      </c>
      <c r="F158" s="570">
        <v>38846938</v>
      </c>
      <c r="G158" s="570">
        <v>38846938</v>
      </c>
      <c r="H158" s="570">
        <f t="shared" si="5"/>
        <v>100</v>
      </c>
      <c r="I158" s="593" t="s">
        <v>284</v>
      </c>
    </row>
    <row r="159" spans="1:9" ht="13.5" customHeight="1">
      <c r="A159" s="568">
        <v>4218</v>
      </c>
      <c r="B159" s="41" t="s">
        <v>551</v>
      </c>
      <c r="C159" s="569"/>
      <c r="D159" s="569"/>
      <c r="E159" s="570">
        <v>0</v>
      </c>
      <c r="F159" s="570">
        <v>7173162.44</v>
      </c>
      <c r="G159" s="570">
        <v>7173162.44</v>
      </c>
      <c r="H159" s="570">
        <f t="shared" si="5"/>
        <v>100</v>
      </c>
      <c r="I159" s="593" t="s">
        <v>285</v>
      </c>
    </row>
    <row r="160" spans="1:9" ht="13.5" customHeight="1">
      <c r="A160" s="568">
        <v>4222</v>
      </c>
      <c r="B160" s="41" t="s">
        <v>552</v>
      </c>
      <c r="C160" s="569"/>
      <c r="D160" s="569"/>
      <c r="E160" s="570">
        <v>0</v>
      </c>
      <c r="F160" s="570">
        <v>79605.6</v>
      </c>
      <c r="G160" s="570">
        <v>79605.6</v>
      </c>
      <c r="H160" s="570">
        <f t="shared" si="5"/>
        <v>100</v>
      </c>
      <c r="I160" s="593" t="s">
        <v>286</v>
      </c>
    </row>
    <row r="161" spans="1:9" ht="13.5" customHeight="1">
      <c r="A161" s="568">
        <v>4222</v>
      </c>
      <c r="B161" s="41" t="s">
        <v>552</v>
      </c>
      <c r="C161" s="569"/>
      <c r="D161" s="569"/>
      <c r="E161" s="570">
        <v>0</v>
      </c>
      <c r="F161" s="570">
        <v>451098.4</v>
      </c>
      <c r="G161" s="570">
        <v>451098.4</v>
      </c>
      <c r="H161" s="570">
        <f t="shared" si="5"/>
        <v>100</v>
      </c>
      <c r="I161" s="593" t="s">
        <v>287</v>
      </c>
    </row>
    <row r="162" spans="1:9" ht="13.5" customHeight="1">
      <c r="A162" s="568">
        <v>4222</v>
      </c>
      <c r="B162" s="41" t="s">
        <v>552</v>
      </c>
      <c r="C162" s="569"/>
      <c r="D162" s="569"/>
      <c r="E162" s="570">
        <v>0</v>
      </c>
      <c r="F162" s="570">
        <v>206552</v>
      </c>
      <c r="G162" s="570">
        <v>206552</v>
      </c>
      <c r="H162" s="570">
        <f t="shared" si="5"/>
        <v>100</v>
      </c>
      <c r="I162" s="593" t="s">
        <v>288</v>
      </c>
    </row>
    <row r="163" spans="1:9" ht="13.5" customHeight="1">
      <c r="A163" s="568">
        <v>4222</v>
      </c>
      <c r="B163" s="41" t="s">
        <v>552</v>
      </c>
      <c r="C163" s="569"/>
      <c r="D163" s="569"/>
      <c r="E163" s="570">
        <v>0</v>
      </c>
      <c r="F163" s="570">
        <v>9750</v>
      </c>
      <c r="G163" s="570">
        <v>9750</v>
      </c>
      <c r="H163" s="570">
        <f t="shared" si="5"/>
        <v>100</v>
      </c>
      <c r="I163" s="573" t="s">
        <v>582</v>
      </c>
    </row>
    <row r="164" spans="1:9" ht="13.5" customHeight="1">
      <c r="A164" s="568">
        <v>4222</v>
      </c>
      <c r="B164" s="41" t="s">
        <v>552</v>
      </c>
      <c r="C164" s="569"/>
      <c r="D164" s="569"/>
      <c r="E164" s="570">
        <v>0</v>
      </c>
      <c r="F164" s="570">
        <v>55250</v>
      </c>
      <c r="G164" s="570">
        <v>55250</v>
      </c>
      <c r="H164" s="570">
        <f t="shared" si="5"/>
        <v>100</v>
      </c>
      <c r="I164" s="573" t="s">
        <v>583</v>
      </c>
    </row>
    <row r="165" spans="1:9" ht="13.5" customHeight="1">
      <c r="A165" s="568">
        <v>4222</v>
      </c>
      <c r="B165" s="41" t="s">
        <v>552</v>
      </c>
      <c r="C165" s="569"/>
      <c r="D165" s="569"/>
      <c r="E165" s="570">
        <v>0</v>
      </c>
      <c r="F165" s="570">
        <v>3000000</v>
      </c>
      <c r="G165" s="570">
        <v>3000000</v>
      </c>
      <c r="H165" s="570">
        <f t="shared" si="5"/>
        <v>100</v>
      </c>
      <c r="I165" s="573" t="s">
        <v>289</v>
      </c>
    </row>
    <row r="166" spans="1:9" ht="13.5" customHeight="1">
      <c r="A166" s="568">
        <v>4223</v>
      </c>
      <c r="B166" s="41" t="s">
        <v>553</v>
      </c>
      <c r="C166" s="569">
        <v>0</v>
      </c>
      <c r="D166" s="569"/>
      <c r="E166" s="570">
        <v>0</v>
      </c>
      <c r="F166" s="570">
        <v>4062111.14</v>
      </c>
      <c r="G166" s="570">
        <v>4062111.14</v>
      </c>
      <c r="H166" s="570">
        <f t="shared" si="5"/>
        <v>100</v>
      </c>
      <c r="I166" s="593" t="s">
        <v>290</v>
      </c>
    </row>
    <row r="167" spans="1:9" ht="13.5" customHeight="1" thickBot="1">
      <c r="A167" s="568">
        <v>4223</v>
      </c>
      <c r="B167" s="41" t="s">
        <v>553</v>
      </c>
      <c r="C167" s="569">
        <v>0</v>
      </c>
      <c r="D167" s="569"/>
      <c r="E167" s="570">
        <v>0</v>
      </c>
      <c r="F167" s="570">
        <v>69873530.55</v>
      </c>
      <c r="G167" s="570">
        <v>69873530.55</v>
      </c>
      <c r="H167" s="570">
        <f t="shared" si="5"/>
        <v>100</v>
      </c>
      <c r="I167" s="593" t="s">
        <v>291</v>
      </c>
    </row>
    <row r="168" spans="1:9" ht="13.5" customHeight="1" thickBot="1">
      <c r="A168" s="568"/>
      <c r="B168" s="583" t="s">
        <v>554</v>
      </c>
      <c r="C168" s="594">
        <f>SUM(C103:C148)</f>
        <v>509995</v>
      </c>
      <c r="D168" s="594">
        <f>SUM(D103:D148)</f>
        <v>151372</v>
      </c>
      <c r="E168" s="585">
        <f>SUM(E98:E167)</f>
        <v>377552200</v>
      </c>
      <c r="F168" s="585">
        <f>SUM(F98:F167)</f>
        <v>937095523.6199999</v>
      </c>
      <c r="G168" s="585">
        <f>SUM(G98:G167)</f>
        <v>864183063.6199999</v>
      </c>
      <c r="H168" s="585">
        <f t="shared" si="5"/>
        <v>92.21931402272212</v>
      </c>
      <c r="I168" s="571"/>
    </row>
    <row r="169" spans="1:9" ht="26.25" customHeight="1" thickBot="1">
      <c r="A169" s="595"/>
      <c r="B169" s="596" t="s">
        <v>555</v>
      </c>
      <c r="C169" s="597">
        <f>C40+C97+C168</f>
        <v>2061387</v>
      </c>
      <c r="D169" s="597">
        <f>D40+D168</f>
        <v>186878</v>
      </c>
      <c r="E169" s="598">
        <f>E40+E97+E168</f>
        <v>1922301200</v>
      </c>
      <c r="F169" s="598">
        <f>F40+F97+F168</f>
        <v>2312882824.71</v>
      </c>
      <c r="G169" s="598">
        <f>G40+G97+G168</f>
        <v>2267989701.81</v>
      </c>
      <c r="H169" s="599">
        <f t="shared" si="5"/>
        <v>98.05899709140566</v>
      </c>
      <c r="I169" s="600"/>
    </row>
    <row r="170" spans="1:9" ht="13.5" customHeight="1">
      <c r="A170" s="601"/>
      <c r="B170" s="602"/>
      <c r="C170" s="603"/>
      <c r="D170" s="603"/>
      <c r="E170" s="603"/>
      <c r="F170" s="603"/>
      <c r="G170" s="603"/>
      <c r="H170" s="603"/>
      <c r="I170" s="41"/>
    </row>
    <row r="171" spans="1:9" ht="13.5" customHeight="1">
      <c r="A171" s="601"/>
      <c r="B171" s="41"/>
      <c r="C171" s="603"/>
      <c r="D171" s="603"/>
      <c r="E171" s="603"/>
      <c r="F171" s="603"/>
      <c r="G171" s="603"/>
      <c r="H171" s="603"/>
      <c r="I171" s="41"/>
    </row>
    <row r="172" spans="1:9" ht="13.5" customHeight="1">
      <c r="A172" s="601"/>
      <c r="B172" s="41"/>
      <c r="C172" s="603"/>
      <c r="D172" s="603"/>
      <c r="E172" s="603"/>
      <c r="F172" s="603"/>
      <c r="G172" s="603"/>
      <c r="H172" s="603"/>
      <c r="I172" s="41"/>
    </row>
    <row r="173" spans="1:9" ht="13.5" customHeight="1">
      <c r="A173" s="601"/>
      <c r="B173" s="41"/>
      <c r="C173" s="603"/>
      <c r="D173" s="603"/>
      <c r="E173" s="603"/>
      <c r="F173" s="603"/>
      <c r="G173" s="570"/>
      <c r="H173" s="603"/>
      <c r="I173" s="41"/>
    </row>
    <row r="174" spans="1:8" ht="12.75">
      <c r="A174" s="580"/>
      <c r="B174" s="604"/>
      <c r="C174" s="570"/>
      <c r="D174" s="570"/>
      <c r="E174" s="570"/>
      <c r="F174" s="570"/>
      <c r="G174" s="570"/>
      <c r="H174" s="570"/>
    </row>
    <row r="175" spans="1:8" ht="12.75">
      <c r="A175" s="580"/>
      <c r="B175" s="580"/>
      <c r="C175" s="570"/>
      <c r="D175" s="570"/>
      <c r="E175" s="570"/>
      <c r="F175" s="570"/>
      <c r="G175" s="570"/>
      <c r="H175" s="570"/>
    </row>
    <row r="176" spans="1:8" ht="12.75">
      <c r="A176" s="580"/>
      <c r="B176" s="580"/>
      <c r="C176" s="570"/>
      <c r="D176" s="570"/>
      <c r="E176" s="570"/>
      <c r="F176" s="570"/>
      <c r="G176" s="570"/>
      <c r="H176" s="570"/>
    </row>
    <row r="177" spans="1:8" ht="12.75">
      <c r="A177" s="580"/>
      <c r="B177" s="580"/>
      <c r="C177" s="570"/>
      <c r="D177" s="570"/>
      <c r="E177" s="570"/>
      <c r="F177" s="570"/>
      <c r="G177" s="570"/>
      <c r="H177" s="570"/>
    </row>
    <row r="178" spans="1:8" ht="12.75">
      <c r="A178" s="580"/>
      <c r="B178" s="580"/>
      <c r="C178" s="570"/>
      <c r="D178" s="570"/>
      <c r="E178" s="570"/>
      <c r="F178" s="570"/>
      <c r="G178" s="570"/>
      <c r="H178" s="570"/>
    </row>
    <row r="179" spans="1:8" ht="12.75">
      <c r="A179" s="580"/>
      <c r="B179" s="580"/>
      <c r="C179" s="570"/>
      <c r="D179" s="570"/>
      <c r="E179" s="570"/>
      <c r="F179" s="570"/>
      <c r="G179" s="570"/>
      <c r="H179" s="570"/>
    </row>
    <row r="180" spans="1:8" ht="12.75">
      <c r="A180" s="580"/>
      <c r="B180" s="580"/>
      <c r="C180" s="570"/>
      <c r="D180" s="570"/>
      <c r="E180" s="570"/>
      <c r="F180" s="570"/>
      <c r="G180" s="570"/>
      <c r="H180" s="570"/>
    </row>
    <row r="181" spans="1:8" ht="12.75">
      <c r="A181" s="580"/>
      <c r="B181" s="580"/>
      <c r="C181" s="570"/>
      <c r="D181" s="570"/>
      <c r="E181" s="570"/>
      <c r="F181" s="570"/>
      <c r="G181" s="570"/>
      <c r="H181" s="570"/>
    </row>
    <row r="182" spans="1:8" ht="12.75">
      <c r="A182" s="580"/>
      <c r="B182" s="580"/>
      <c r="C182" s="570"/>
      <c r="D182" s="570"/>
      <c r="E182" s="570"/>
      <c r="F182" s="570"/>
      <c r="G182" s="570"/>
      <c r="H182" s="570"/>
    </row>
    <row r="183" spans="1:8" ht="12.75">
      <c r="A183" s="580"/>
      <c r="B183" s="580"/>
      <c r="C183" s="570"/>
      <c r="D183" s="570"/>
      <c r="E183" s="570"/>
      <c r="F183" s="570"/>
      <c r="G183" s="570"/>
      <c r="H183" s="570"/>
    </row>
    <row r="184" spans="1:8" ht="12.75">
      <c r="A184" s="580"/>
      <c r="B184" s="580"/>
      <c r="C184" s="570"/>
      <c r="D184" s="570"/>
      <c r="E184" s="570"/>
      <c r="F184" s="570"/>
      <c r="G184" s="570"/>
      <c r="H184" s="570"/>
    </row>
    <row r="185" spans="1:2" ht="12.75">
      <c r="A185" s="604"/>
      <c r="B185" s="580"/>
    </row>
    <row r="186" ht="12.75">
      <c r="A186" s="604"/>
    </row>
    <row r="187" ht="12.75">
      <c r="A187" s="604"/>
    </row>
    <row r="188" ht="12.75">
      <c r="A188" s="604"/>
    </row>
    <row r="189" ht="12.75">
      <c r="A189" s="604"/>
    </row>
    <row r="190" ht="12.75">
      <c r="A190" s="604"/>
    </row>
    <row r="191" ht="12.75">
      <c r="A191" s="604"/>
    </row>
    <row r="192" ht="12.75">
      <c r="A192" s="604"/>
    </row>
    <row r="193" ht="12.75">
      <c r="A193" s="604"/>
    </row>
    <row r="194" ht="12.75">
      <c r="A194" s="604"/>
    </row>
    <row r="195" ht="12.75">
      <c r="A195" s="604"/>
    </row>
    <row r="196" ht="12.75">
      <c r="A196" s="604"/>
    </row>
    <row r="197" ht="12.75">
      <c r="A197" s="604"/>
    </row>
    <row r="198" ht="12.75">
      <c r="A198" s="604"/>
    </row>
    <row r="199" ht="12.75">
      <c r="A199" s="604"/>
    </row>
    <row r="200" ht="12.75">
      <c r="A200" s="604"/>
    </row>
    <row r="201" ht="12.75">
      <c r="A201" s="604"/>
    </row>
    <row r="202" ht="12.75">
      <c r="A202" s="604"/>
    </row>
    <row r="203" ht="12.75">
      <c r="A203" s="604"/>
    </row>
    <row r="204" ht="12.75">
      <c r="A204" s="604"/>
    </row>
    <row r="205" ht="12.75">
      <c r="A205" s="604"/>
    </row>
    <row r="206" ht="12.75">
      <c r="A206" s="604"/>
    </row>
    <row r="207" ht="12.75">
      <c r="A207" s="604"/>
    </row>
    <row r="208" ht="12.75">
      <c r="A208" s="604"/>
    </row>
    <row r="209" ht="12.75">
      <c r="A209" s="604"/>
    </row>
    <row r="210" ht="12.75">
      <c r="A210" s="604"/>
    </row>
    <row r="211" ht="12.75">
      <c r="A211" s="604"/>
    </row>
    <row r="212" ht="12.75">
      <c r="A212" s="604"/>
    </row>
    <row r="213" ht="12.75">
      <c r="A213" s="604"/>
    </row>
    <row r="214" ht="12.75">
      <c r="A214" s="604"/>
    </row>
    <row r="215" ht="12.75">
      <c r="A215" s="604"/>
    </row>
    <row r="216" ht="12.75">
      <c r="A216" s="604"/>
    </row>
    <row r="217" ht="12.75">
      <c r="A217" s="604"/>
    </row>
    <row r="218" ht="12.75">
      <c r="A218" s="604"/>
    </row>
    <row r="219" ht="12.75">
      <c r="A219" s="604"/>
    </row>
    <row r="220" ht="12.75">
      <c r="A220" s="604"/>
    </row>
    <row r="221" ht="12.75">
      <c r="A221" s="604"/>
    </row>
    <row r="222" ht="12.75">
      <c r="A222" s="604"/>
    </row>
    <row r="223" ht="12.75">
      <c r="A223" s="604"/>
    </row>
    <row r="224" ht="12.75">
      <c r="A224" s="604"/>
    </row>
    <row r="225" ht="12.75">
      <c r="A225" s="604"/>
    </row>
    <row r="226" ht="12.75">
      <c r="A226" s="604"/>
    </row>
    <row r="227" ht="12.75">
      <c r="A227" s="604"/>
    </row>
    <row r="228" ht="12.75">
      <c r="A228" s="604"/>
    </row>
    <row r="229" ht="12.75">
      <c r="A229" s="604"/>
    </row>
    <row r="230" ht="12.75">
      <c r="A230" s="604"/>
    </row>
    <row r="231" ht="12.75">
      <c r="A231" s="604"/>
    </row>
    <row r="232" ht="12.75">
      <c r="A232" s="604"/>
    </row>
    <row r="233" ht="12.75">
      <c r="A233" s="604"/>
    </row>
    <row r="234" ht="12.75">
      <c r="A234" s="604"/>
    </row>
    <row r="235" ht="12.75">
      <c r="A235" s="604"/>
    </row>
    <row r="236" ht="12.75">
      <c r="A236" s="604"/>
    </row>
    <row r="237" ht="12.75">
      <c r="A237" s="604"/>
    </row>
    <row r="238" ht="12.75">
      <c r="A238" s="604"/>
    </row>
    <row r="239" ht="12.75">
      <c r="A239" s="604"/>
    </row>
    <row r="240" ht="12.75">
      <c r="A240" s="604"/>
    </row>
    <row r="241" ht="12.75">
      <c r="A241" s="604"/>
    </row>
    <row r="242" ht="12.75">
      <c r="A242" s="604"/>
    </row>
    <row r="243" ht="12.75">
      <c r="A243" s="604"/>
    </row>
    <row r="244" ht="12.75">
      <c r="A244" s="604"/>
    </row>
    <row r="245" ht="12.75">
      <c r="A245" s="604"/>
    </row>
    <row r="246" ht="12.75">
      <c r="A246" s="604"/>
    </row>
    <row r="247" ht="12.75">
      <c r="A247" s="604"/>
    </row>
    <row r="248" ht="12.75">
      <c r="A248" s="604"/>
    </row>
    <row r="249" ht="12.75">
      <c r="A249" s="604"/>
    </row>
    <row r="250" ht="12.75">
      <c r="A250" s="604"/>
    </row>
    <row r="251" ht="12.75">
      <c r="A251" s="604"/>
    </row>
    <row r="252" ht="12.75">
      <c r="A252" s="604"/>
    </row>
    <row r="253" ht="12.75">
      <c r="A253" s="604"/>
    </row>
    <row r="254" ht="12.75">
      <c r="A254" s="604"/>
    </row>
    <row r="255" ht="12.75">
      <c r="A255" s="604"/>
    </row>
    <row r="256" ht="12.75">
      <c r="A256" s="604"/>
    </row>
    <row r="257" ht="12.75">
      <c r="A257" s="604"/>
    </row>
    <row r="258" ht="12.75">
      <c r="A258" s="604"/>
    </row>
    <row r="259" ht="12.75">
      <c r="A259" s="604"/>
    </row>
    <row r="260" ht="12.75">
      <c r="A260" s="604"/>
    </row>
    <row r="261" ht="12.75">
      <c r="A261" s="604"/>
    </row>
    <row r="262" ht="12.75">
      <c r="A262" s="604"/>
    </row>
    <row r="263" ht="12.75">
      <c r="A263" s="604"/>
    </row>
    <row r="264" ht="12.75">
      <c r="A264" s="604"/>
    </row>
    <row r="265" ht="12.75">
      <c r="A265" s="604"/>
    </row>
    <row r="266" ht="12.75">
      <c r="A266" s="604"/>
    </row>
    <row r="267" ht="12.75">
      <c r="A267" s="604"/>
    </row>
    <row r="268" ht="12.75">
      <c r="A268" s="604"/>
    </row>
    <row r="269" ht="12.75">
      <c r="A269" s="604"/>
    </row>
    <row r="270" ht="12.75">
      <c r="A270" s="604"/>
    </row>
    <row r="271" ht="12.75">
      <c r="A271" s="604"/>
    </row>
    <row r="272" ht="12.75">
      <c r="A272" s="604"/>
    </row>
    <row r="273" ht="12.75">
      <c r="A273" s="604"/>
    </row>
    <row r="274" ht="12.75">
      <c r="A274" s="604"/>
    </row>
    <row r="275" ht="12.75">
      <c r="A275" s="604"/>
    </row>
    <row r="276" ht="12.75">
      <c r="A276" s="604"/>
    </row>
    <row r="277" ht="12.75">
      <c r="A277" s="604"/>
    </row>
    <row r="278" ht="12.75">
      <c r="A278" s="604"/>
    </row>
    <row r="279" ht="12.75">
      <c r="A279" s="604"/>
    </row>
    <row r="280" ht="12.75">
      <c r="A280" s="604"/>
    </row>
    <row r="281" ht="12.75">
      <c r="A281" s="604"/>
    </row>
    <row r="282" ht="12.75">
      <c r="A282" s="604"/>
    </row>
    <row r="283" ht="12.75">
      <c r="A283" s="604"/>
    </row>
    <row r="284" ht="12.75">
      <c r="A284" s="604"/>
    </row>
    <row r="285" ht="12.75">
      <c r="A285" s="604"/>
    </row>
    <row r="286" ht="12.75">
      <c r="A286" s="604"/>
    </row>
    <row r="287" ht="12.75">
      <c r="A287" s="604"/>
    </row>
    <row r="288" ht="12.75">
      <c r="A288" s="604"/>
    </row>
    <row r="289" ht="12.75">
      <c r="A289" s="604"/>
    </row>
    <row r="290" ht="12.75">
      <c r="A290" s="604"/>
    </row>
    <row r="291" ht="12.75">
      <c r="A291" s="604"/>
    </row>
    <row r="292" ht="12.75">
      <c r="A292" s="604"/>
    </row>
    <row r="293" ht="12.75">
      <c r="A293" s="604"/>
    </row>
    <row r="294" ht="12.75">
      <c r="A294" s="604"/>
    </row>
    <row r="295" ht="12.75">
      <c r="A295" s="604"/>
    </row>
    <row r="296" ht="12.75">
      <c r="A296" s="604"/>
    </row>
    <row r="297" ht="12.75">
      <c r="A297" s="604"/>
    </row>
    <row r="298" ht="12.75">
      <c r="A298" s="604"/>
    </row>
    <row r="299" ht="12.75">
      <c r="A299" s="604"/>
    </row>
    <row r="300" ht="12.75">
      <c r="A300" s="604"/>
    </row>
    <row r="301" ht="12.75">
      <c r="A301" s="604"/>
    </row>
    <row r="302" ht="12.75">
      <c r="A302" s="604"/>
    </row>
    <row r="303" ht="12.75">
      <c r="A303" s="604"/>
    </row>
    <row r="304" ht="12.75">
      <c r="A304" s="604"/>
    </row>
    <row r="305" ht="12.75">
      <c r="A305" s="604"/>
    </row>
    <row r="306" ht="12.75">
      <c r="A306" s="604"/>
    </row>
    <row r="307" ht="12.75">
      <c r="A307" s="604"/>
    </row>
    <row r="308" ht="12.75">
      <c r="A308" s="604"/>
    </row>
    <row r="309" ht="12.75">
      <c r="A309" s="604"/>
    </row>
    <row r="310" ht="12.75">
      <c r="A310" s="604"/>
    </row>
    <row r="311" ht="12.75">
      <c r="A311" s="604"/>
    </row>
    <row r="312" ht="12.75">
      <c r="A312" s="604"/>
    </row>
    <row r="313" ht="12.75">
      <c r="A313" s="604"/>
    </row>
    <row r="314" ht="12.75">
      <c r="A314" s="604"/>
    </row>
    <row r="315" ht="12.75">
      <c r="A315" s="604"/>
    </row>
    <row r="316" ht="12.75">
      <c r="A316" s="604"/>
    </row>
    <row r="317" ht="12.75">
      <c r="A317" s="604"/>
    </row>
    <row r="318" ht="12.75">
      <c r="A318" s="604"/>
    </row>
    <row r="319" ht="12.75">
      <c r="A319" s="604"/>
    </row>
    <row r="320" ht="12.75">
      <c r="A320" s="604"/>
    </row>
    <row r="321" ht="12.75">
      <c r="A321" s="604"/>
    </row>
    <row r="322" ht="12.75">
      <c r="A322" s="604"/>
    </row>
    <row r="323" ht="12.75">
      <c r="A323" s="604"/>
    </row>
    <row r="324" ht="12.75">
      <c r="A324" s="604"/>
    </row>
    <row r="325" ht="12.75">
      <c r="A325" s="604"/>
    </row>
    <row r="326" ht="12.75">
      <c r="A326" s="604"/>
    </row>
    <row r="327" ht="12.75">
      <c r="A327" s="604"/>
    </row>
    <row r="328" ht="12.75">
      <c r="A328" s="604"/>
    </row>
    <row r="329" ht="12.75">
      <c r="A329" s="604"/>
    </row>
    <row r="330" ht="12.75">
      <c r="A330" s="604"/>
    </row>
    <row r="331" ht="12.75">
      <c r="A331" s="604"/>
    </row>
    <row r="332" ht="12.75">
      <c r="A332" s="604"/>
    </row>
    <row r="333" ht="12.75">
      <c r="A333" s="604"/>
    </row>
    <row r="334" ht="12.75">
      <c r="A334" s="604"/>
    </row>
    <row r="335" ht="12.75">
      <c r="A335" s="604"/>
    </row>
    <row r="336" ht="12.75">
      <c r="A336" s="604"/>
    </row>
    <row r="337" ht="12.75">
      <c r="A337" s="604"/>
    </row>
    <row r="338" ht="12.75">
      <c r="A338" s="604"/>
    </row>
    <row r="339" ht="12.75">
      <c r="A339" s="604"/>
    </row>
    <row r="340" ht="12.75">
      <c r="A340" s="604"/>
    </row>
    <row r="341" ht="12.75">
      <c r="A341" s="604"/>
    </row>
    <row r="342" ht="12.75">
      <c r="A342" s="604"/>
    </row>
    <row r="343" ht="12.75">
      <c r="A343" s="604"/>
    </row>
    <row r="344" ht="12.75">
      <c r="A344" s="604"/>
    </row>
    <row r="345" ht="12.75">
      <c r="A345" s="604"/>
    </row>
    <row r="346" ht="12.75">
      <c r="A346" s="604"/>
    </row>
    <row r="347" ht="12.75">
      <c r="A347" s="604"/>
    </row>
    <row r="348" ht="12.75">
      <c r="A348" s="604"/>
    </row>
    <row r="349" ht="12.75">
      <c r="A349" s="604"/>
    </row>
    <row r="350" ht="12.75">
      <c r="A350" s="604"/>
    </row>
    <row r="351" ht="12.75">
      <c r="A351" s="604"/>
    </row>
    <row r="352" ht="12.75">
      <c r="A352" s="604"/>
    </row>
    <row r="353" ht="12.75">
      <c r="A353" s="604"/>
    </row>
    <row r="354" ht="12.75">
      <c r="A354" s="604"/>
    </row>
    <row r="355" ht="12.75">
      <c r="A355" s="604"/>
    </row>
    <row r="356" ht="12.75">
      <c r="A356" s="604"/>
    </row>
    <row r="357" ht="12.75">
      <c r="A357" s="604"/>
    </row>
    <row r="358" ht="12.75">
      <c r="A358" s="604"/>
    </row>
    <row r="359" ht="12.75">
      <c r="A359" s="604"/>
    </row>
    <row r="360" ht="12.75">
      <c r="A360" s="604"/>
    </row>
    <row r="361" ht="12.75">
      <c r="A361" s="604"/>
    </row>
    <row r="362" ht="12.75">
      <c r="A362" s="604"/>
    </row>
    <row r="363" ht="12.75">
      <c r="A363" s="604"/>
    </row>
    <row r="364" ht="12.75">
      <c r="A364" s="604"/>
    </row>
    <row r="365" ht="12.75">
      <c r="A365" s="604"/>
    </row>
    <row r="366" ht="12.75">
      <c r="A366" s="604"/>
    </row>
    <row r="367" ht="12.75">
      <c r="A367" s="604"/>
    </row>
    <row r="368" ht="12.75">
      <c r="A368" s="604"/>
    </row>
    <row r="369" ht="12.75">
      <c r="A369" s="604"/>
    </row>
    <row r="370" ht="12.75">
      <c r="A370" s="604"/>
    </row>
    <row r="371" ht="12.75">
      <c r="A371" s="604"/>
    </row>
    <row r="372" ht="12.75">
      <c r="A372" s="604"/>
    </row>
    <row r="373" ht="12.75">
      <c r="A373" s="604"/>
    </row>
    <row r="374" ht="12.75">
      <c r="A374" s="604"/>
    </row>
    <row r="375" ht="12.75">
      <c r="A375" s="604"/>
    </row>
    <row r="376" ht="12.75">
      <c r="A376" s="604"/>
    </row>
    <row r="377" ht="12.75">
      <c r="A377" s="604"/>
    </row>
    <row r="378" ht="12.75">
      <c r="A378" s="604"/>
    </row>
    <row r="379" ht="12.75">
      <c r="A379" s="604"/>
    </row>
    <row r="380" ht="12.75">
      <c r="A380" s="604"/>
    </row>
    <row r="381" ht="12.75">
      <c r="A381" s="604"/>
    </row>
    <row r="382" ht="12.75">
      <c r="A382" s="604"/>
    </row>
    <row r="383" ht="12.75">
      <c r="A383" s="604"/>
    </row>
    <row r="384" ht="12.75">
      <c r="A384" s="604"/>
    </row>
    <row r="385" ht="12.75">
      <c r="A385" s="604"/>
    </row>
    <row r="386" ht="12.75">
      <c r="A386" s="604"/>
    </row>
    <row r="387" ht="12.75">
      <c r="A387" s="604"/>
    </row>
    <row r="388" ht="12.75">
      <c r="A388" s="604"/>
    </row>
    <row r="389" ht="12.75">
      <c r="A389" s="604"/>
    </row>
    <row r="390" ht="12.75">
      <c r="A390" s="604"/>
    </row>
    <row r="391" ht="12.75">
      <c r="A391" s="604"/>
    </row>
    <row r="392" ht="12.75">
      <c r="A392" s="604"/>
    </row>
    <row r="393" ht="12.75">
      <c r="A393" s="604"/>
    </row>
    <row r="394" ht="12.75">
      <c r="A394" s="604"/>
    </row>
    <row r="395" ht="12.75">
      <c r="A395" s="604"/>
    </row>
    <row r="396" ht="12.75">
      <c r="A396" s="604"/>
    </row>
    <row r="397" ht="12.75">
      <c r="A397" s="604"/>
    </row>
    <row r="398" ht="12.75">
      <c r="A398" s="604"/>
    </row>
    <row r="399" ht="12.75">
      <c r="A399" s="604"/>
    </row>
    <row r="400" ht="12.75">
      <c r="A400" s="604"/>
    </row>
    <row r="401" ht="12.75">
      <c r="A401" s="604"/>
    </row>
    <row r="402" ht="12.75">
      <c r="A402" s="604"/>
    </row>
    <row r="403" ht="12.75">
      <c r="A403" s="604"/>
    </row>
    <row r="404" ht="12.75">
      <c r="A404" s="604"/>
    </row>
    <row r="405" ht="12.75">
      <c r="A405" s="604"/>
    </row>
    <row r="406" ht="12.75">
      <c r="A406" s="604"/>
    </row>
    <row r="407" ht="12.75">
      <c r="A407" s="604"/>
    </row>
    <row r="408" ht="12.75">
      <c r="A408" s="604"/>
    </row>
    <row r="409" ht="12.75">
      <c r="A409" s="604"/>
    </row>
    <row r="410" ht="12.75">
      <c r="A410" s="604"/>
    </row>
    <row r="411" ht="12.75">
      <c r="A411" s="604"/>
    </row>
    <row r="412" ht="12.75">
      <c r="A412" s="604"/>
    </row>
    <row r="413" ht="12.75">
      <c r="A413" s="604"/>
    </row>
    <row r="414" ht="12.75">
      <c r="A414" s="604"/>
    </row>
    <row r="415" ht="12.75">
      <c r="A415" s="604"/>
    </row>
    <row r="416" ht="12.75">
      <c r="A416" s="604"/>
    </row>
    <row r="417" ht="12.75">
      <c r="A417" s="604"/>
    </row>
    <row r="418" ht="12.75">
      <c r="A418" s="604"/>
    </row>
    <row r="419" ht="12.75">
      <c r="A419" s="604"/>
    </row>
    <row r="420" ht="12.75">
      <c r="A420" s="604"/>
    </row>
    <row r="421" ht="12.75">
      <c r="A421" s="604"/>
    </row>
    <row r="422" ht="12.75">
      <c r="A422" s="604"/>
    </row>
    <row r="423" ht="12.75">
      <c r="A423" s="604"/>
    </row>
    <row r="424" ht="12.75">
      <c r="A424" s="604"/>
    </row>
    <row r="425" ht="12.75">
      <c r="A425" s="604"/>
    </row>
    <row r="426" ht="12.75">
      <c r="A426" s="604"/>
    </row>
    <row r="427" ht="12.75">
      <c r="A427" s="604"/>
    </row>
    <row r="428" ht="12.75">
      <c r="A428" s="604"/>
    </row>
    <row r="429" ht="12.75">
      <c r="A429" s="604"/>
    </row>
    <row r="430" ht="12.75">
      <c r="A430" s="604"/>
    </row>
    <row r="431" ht="12.75">
      <c r="A431" s="604"/>
    </row>
    <row r="432" ht="12.75">
      <c r="A432" s="604"/>
    </row>
    <row r="433" ht="12.75">
      <c r="A433" s="604"/>
    </row>
    <row r="434" ht="12.75">
      <c r="A434" s="604"/>
    </row>
    <row r="435" ht="12.75">
      <c r="A435" s="604"/>
    </row>
    <row r="436" ht="12.75">
      <c r="A436" s="604"/>
    </row>
    <row r="437" ht="12.75">
      <c r="A437" s="604"/>
    </row>
    <row r="438" ht="12.75">
      <c r="A438" s="604"/>
    </row>
    <row r="439" ht="12.75">
      <c r="A439" s="604"/>
    </row>
    <row r="440" ht="12.75">
      <c r="A440" s="604"/>
    </row>
    <row r="441" ht="12.75">
      <c r="A441" s="604"/>
    </row>
    <row r="442" ht="12.75">
      <c r="A442" s="604"/>
    </row>
    <row r="443" ht="12.75">
      <c r="A443" s="604"/>
    </row>
    <row r="444" ht="12.75">
      <c r="A444" s="604"/>
    </row>
    <row r="445" ht="12.75">
      <c r="A445" s="604"/>
    </row>
    <row r="446" ht="12.75">
      <c r="A446" s="604"/>
    </row>
    <row r="447" ht="12.75">
      <c r="A447" s="604"/>
    </row>
    <row r="448" ht="12.75">
      <c r="A448" s="604"/>
    </row>
    <row r="449" ht="12.75">
      <c r="A449" s="604"/>
    </row>
    <row r="450" ht="12.75">
      <c r="A450" s="604"/>
    </row>
    <row r="451" ht="12.75">
      <c r="A451" s="604"/>
    </row>
    <row r="452" ht="12.75">
      <c r="A452" s="604"/>
    </row>
    <row r="453" ht="12.75">
      <c r="A453" s="604"/>
    </row>
    <row r="454" ht="12.75">
      <c r="A454" s="604"/>
    </row>
    <row r="455" ht="12.75">
      <c r="A455" s="604"/>
    </row>
    <row r="456" ht="12.75">
      <c r="A456" s="604"/>
    </row>
    <row r="457" ht="12.75">
      <c r="A457" s="604"/>
    </row>
    <row r="458" ht="12.75">
      <c r="A458" s="604"/>
    </row>
    <row r="459" ht="12.75">
      <c r="A459" s="604"/>
    </row>
    <row r="460" ht="12.75">
      <c r="A460" s="604"/>
    </row>
    <row r="461" ht="12.75">
      <c r="A461" s="604"/>
    </row>
    <row r="462" ht="12.75">
      <c r="A462" s="604"/>
    </row>
    <row r="463" ht="12.75">
      <c r="A463" s="604"/>
    </row>
    <row r="464" ht="12.75">
      <c r="A464" s="604"/>
    </row>
    <row r="465" ht="12.75">
      <c r="A465" s="604"/>
    </row>
    <row r="466" ht="12.75">
      <c r="A466" s="604"/>
    </row>
    <row r="467" ht="12.75">
      <c r="A467" s="604"/>
    </row>
    <row r="468" ht="12.75">
      <c r="A468" s="604"/>
    </row>
    <row r="469" ht="12.75">
      <c r="A469" s="604"/>
    </row>
    <row r="470" ht="12.75">
      <c r="A470" s="604"/>
    </row>
    <row r="471" ht="12.75">
      <c r="A471" s="604"/>
    </row>
    <row r="472" ht="12.75">
      <c r="A472" s="604"/>
    </row>
    <row r="473" ht="12.75">
      <c r="A473" s="604"/>
    </row>
    <row r="474" ht="12.75">
      <c r="A474" s="604"/>
    </row>
    <row r="475" ht="12.75">
      <c r="A475" s="604"/>
    </row>
    <row r="476" ht="12.75">
      <c r="A476" s="604"/>
    </row>
    <row r="477" ht="12.75">
      <c r="A477" s="604"/>
    </row>
    <row r="478" ht="12.75">
      <c r="A478" s="604"/>
    </row>
    <row r="479" ht="12.75">
      <c r="A479" s="604"/>
    </row>
    <row r="480" ht="12.75">
      <c r="A480" s="604"/>
    </row>
    <row r="481" ht="12.75">
      <c r="A481" s="604"/>
    </row>
    <row r="482" ht="12.75">
      <c r="A482" s="604"/>
    </row>
    <row r="483" ht="12.75">
      <c r="A483" s="604"/>
    </row>
    <row r="484" ht="12.75">
      <c r="A484" s="604"/>
    </row>
    <row r="485" ht="12.75">
      <c r="A485" s="604"/>
    </row>
    <row r="486" ht="12.75">
      <c r="A486" s="604"/>
    </row>
    <row r="487" ht="12.75">
      <c r="A487" s="604"/>
    </row>
    <row r="488" ht="12.75">
      <c r="A488" s="604"/>
    </row>
    <row r="489" ht="12.75">
      <c r="A489" s="604"/>
    </row>
    <row r="490" ht="12.75">
      <c r="A490" s="604"/>
    </row>
    <row r="491" ht="12.75">
      <c r="A491" s="604"/>
    </row>
    <row r="492" ht="12.75">
      <c r="A492" s="604"/>
    </row>
    <row r="493" ht="12.75">
      <c r="A493" s="604"/>
    </row>
    <row r="494" ht="12.75">
      <c r="A494" s="604"/>
    </row>
    <row r="495" ht="12.75">
      <c r="A495" s="604"/>
    </row>
    <row r="496" ht="12.75">
      <c r="A496" s="604"/>
    </row>
    <row r="497" ht="12.75">
      <c r="A497" s="604"/>
    </row>
    <row r="498" ht="12.75">
      <c r="A498" s="604"/>
    </row>
    <row r="499" ht="12.75">
      <c r="A499" s="604"/>
    </row>
    <row r="500" ht="12.75">
      <c r="A500" s="604"/>
    </row>
    <row r="501" ht="12.75">
      <c r="A501" s="604"/>
    </row>
    <row r="502" ht="12.75">
      <c r="A502" s="604"/>
    </row>
    <row r="503" ht="12.75">
      <c r="A503" s="604"/>
    </row>
    <row r="504" ht="12.75">
      <c r="A504" s="604"/>
    </row>
    <row r="505" ht="12.75">
      <c r="A505" s="604"/>
    </row>
    <row r="506" ht="12.75">
      <c r="A506" s="604"/>
    </row>
    <row r="507" ht="12.75">
      <c r="A507" s="604"/>
    </row>
    <row r="508" ht="12.75">
      <c r="A508" s="604"/>
    </row>
    <row r="509" ht="12.75">
      <c r="A509" s="604"/>
    </row>
    <row r="510" ht="12.75">
      <c r="A510" s="604"/>
    </row>
    <row r="511" ht="12.75">
      <c r="A511" s="604"/>
    </row>
    <row r="512" ht="12.75">
      <c r="A512" s="604"/>
    </row>
    <row r="513" ht="12.75">
      <c r="A513" s="604"/>
    </row>
    <row r="514" ht="12.75">
      <c r="A514" s="604"/>
    </row>
    <row r="515" ht="12.75">
      <c r="A515" s="604"/>
    </row>
    <row r="516" ht="12.75">
      <c r="A516" s="604"/>
    </row>
    <row r="517" ht="12.75">
      <c r="A517" s="604"/>
    </row>
    <row r="518" ht="12.75">
      <c r="A518" s="604"/>
    </row>
    <row r="519" ht="12.75">
      <c r="A519" s="604"/>
    </row>
    <row r="520" ht="12.75">
      <c r="A520" s="604"/>
    </row>
    <row r="521" ht="12.75">
      <c r="A521" s="604"/>
    </row>
    <row r="522" ht="12.75">
      <c r="A522" s="604"/>
    </row>
    <row r="523" ht="12.75">
      <c r="A523" s="604"/>
    </row>
    <row r="524" ht="12.75">
      <c r="A524" s="604"/>
    </row>
    <row r="525" ht="12.75">
      <c r="A525" s="604"/>
    </row>
    <row r="526" ht="12.75">
      <c r="A526" s="604"/>
    </row>
    <row r="527" ht="12.75">
      <c r="A527" s="604"/>
    </row>
    <row r="528" ht="12.75">
      <c r="A528" s="604"/>
    </row>
    <row r="529" ht="12.75">
      <c r="A529" s="604"/>
    </row>
    <row r="530" ht="12.75">
      <c r="A530" s="604"/>
    </row>
    <row r="531" ht="12.75">
      <c r="A531" s="604"/>
    </row>
    <row r="532" ht="12.75">
      <c r="A532" s="604"/>
    </row>
    <row r="533" ht="12.75">
      <c r="A533" s="604"/>
    </row>
    <row r="534" ht="12.75">
      <c r="A534" s="604"/>
    </row>
    <row r="535" ht="12.75">
      <c r="A535" s="604"/>
    </row>
    <row r="536" ht="12.75">
      <c r="A536" s="604"/>
    </row>
    <row r="537" ht="12.75">
      <c r="A537" s="604"/>
    </row>
    <row r="538" ht="12.75">
      <c r="A538" s="604"/>
    </row>
    <row r="539" ht="12.75">
      <c r="A539" s="604"/>
    </row>
    <row r="540" ht="12.75">
      <c r="A540" s="604"/>
    </row>
    <row r="541" ht="12.75">
      <c r="A541" s="604"/>
    </row>
    <row r="542" ht="12.75">
      <c r="A542" s="604"/>
    </row>
    <row r="543" ht="12.75">
      <c r="A543" s="604"/>
    </row>
    <row r="544" ht="12.75">
      <c r="A544" s="604"/>
    </row>
    <row r="545" ht="12.75">
      <c r="A545" s="604"/>
    </row>
    <row r="546" ht="12.75">
      <c r="A546" s="604"/>
    </row>
    <row r="547" ht="12.75">
      <c r="A547" s="604"/>
    </row>
    <row r="548" ht="12.75">
      <c r="A548" s="604"/>
    </row>
    <row r="549" ht="12.75">
      <c r="A549" s="604"/>
    </row>
    <row r="550" ht="12.75">
      <c r="A550" s="604"/>
    </row>
    <row r="551" ht="12.75">
      <c r="A551" s="604"/>
    </row>
    <row r="552" ht="12.75">
      <c r="A552" s="604"/>
    </row>
    <row r="553" ht="12.75">
      <c r="A553" s="604"/>
    </row>
    <row r="554" ht="12.75">
      <c r="A554" s="604"/>
    </row>
    <row r="555" ht="12.75">
      <c r="A555" s="604"/>
    </row>
    <row r="556" ht="12.75">
      <c r="A556" s="604"/>
    </row>
    <row r="557" ht="12.75">
      <c r="A557" s="604"/>
    </row>
    <row r="558" ht="12.75">
      <c r="A558" s="604"/>
    </row>
    <row r="559" ht="12.75">
      <c r="A559" s="604"/>
    </row>
    <row r="560" ht="12.75">
      <c r="A560" s="604"/>
    </row>
    <row r="561" ht="12.75">
      <c r="A561" s="604"/>
    </row>
    <row r="562" ht="12.75">
      <c r="A562" s="604"/>
    </row>
    <row r="563" ht="12.75">
      <c r="A563" s="604"/>
    </row>
    <row r="564" ht="12.75">
      <c r="A564" s="604"/>
    </row>
    <row r="565" ht="12.75">
      <c r="A565" s="604"/>
    </row>
    <row r="566" ht="12.75">
      <c r="A566" s="604"/>
    </row>
    <row r="567" ht="12.75">
      <c r="A567" s="604"/>
    </row>
    <row r="568" ht="12.75">
      <c r="A568" s="604"/>
    </row>
    <row r="569" ht="12.75">
      <c r="A569" s="604"/>
    </row>
    <row r="570" ht="12.75">
      <c r="A570" s="604"/>
    </row>
    <row r="571" ht="12.75">
      <c r="A571" s="604"/>
    </row>
    <row r="572" ht="12.75">
      <c r="A572" s="604"/>
    </row>
    <row r="573" ht="12.75">
      <c r="A573" s="604"/>
    </row>
    <row r="574" ht="12.75">
      <c r="A574" s="604"/>
    </row>
    <row r="575" ht="12.75">
      <c r="A575" s="604"/>
    </row>
    <row r="576" ht="12.75">
      <c r="A576" s="604"/>
    </row>
    <row r="577" ht="12.75">
      <c r="A577" s="604"/>
    </row>
    <row r="578" ht="12.75">
      <c r="A578" s="604"/>
    </row>
    <row r="579" ht="12.75">
      <c r="A579" s="604"/>
    </row>
    <row r="580" ht="12.75">
      <c r="A580" s="604"/>
    </row>
    <row r="581" ht="12.75">
      <c r="A581" s="604"/>
    </row>
    <row r="582" ht="12.75">
      <c r="A582" s="604"/>
    </row>
    <row r="583" ht="12.75">
      <c r="A583" s="604"/>
    </row>
    <row r="584" ht="12.75">
      <c r="A584" s="604"/>
    </row>
    <row r="585" ht="12.75">
      <c r="A585" s="604"/>
    </row>
    <row r="586" ht="12.75">
      <c r="A586" s="604"/>
    </row>
    <row r="587" ht="12.75">
      <c r="A587" s="604"/>
    </row>
    <row r="588" ht="12.75">
      <c r="A588" s="604"/>
    </row>
    <row r="589" ht="12.75">
      <c r="A589" s="604"/>
    </row>
    <row r="590" ht="12.75">
      <c r="A590" s="604"/>
    </row>
    <row r="591" ht="12.75">
      <c r="A591" s="604"/>
    </row>
    <row r="592" ht="12.75">
      <c r="A592" s="604"/>
    </row>
    <row r="593" ht="12.75">
      <c r="A593" s="604"/>
    </row>
    <row r="594" ht="12.75">
      <c r="A594" s="604"/>
    </row>
    <row r="595" ht="12.75">
      <c r="A595" s="604"/>
    </row>
    <row r="596" ht="12.75">
      <c r="A596" s="604"/>
    </row>
    <row r="597" ht="12.75">
      <c r="A597" s="604"/>
    </row>
    <row r="598" ht="12.75">
      <c r="A598" s="604"/>
    </row>
    <row r="599" ht="12.75">
      <c r="A599" s="604"/>
    </row>
    <row r="600" ht="12.75">
      <c r="A600" s="604"/>
    </row>
    <row r="601" ht="12.75">
      <c r="A601" s="604"/>
    </row>
    <row r="602" ht="12.75">
      <c r="A602" s="604"/>
    </row>
    <row r="603" ht="12.75">
      <c r="A603" s="604"/>
    </row>
    <row r="604" ht="12.75">
      <c r="A604" s="604"/>
    </row>
    <row r="605" ht="12.75">
      <c r="A605" s="604"/>
    </row>
    <row r="606" ht="12.75">
      <c r="A606" s="604"/>
    </row>
    <row r="607" ht="12.75">
      <c r="A607" s="604"/>
    </row>
    <row r="608" ht="12.75">
      <c r="A608" s="604"/>
    </row>
    <row r="609" ht="12.75">
      <c r="A609" s="604"/>
    </row>
    <row r="610" ht="12.75">
      <c r="A610" s="604"/>
    </row>
    <row r="611" ht="12.75">
      <c r="A611" s="604"/>
    </row>
    <row r="612" ht="12.75">
      <c r="A612" s="604"/>
    </row>
    <row r="613" ht="12.75">
      <c r="A613" s="604"/>
    </row>
    <row r="614" ht="12.75">
      <c r="A614" s="604"/>
    </row>
    <row r="615" ht="12.75">
      <c r="A615" s="604"/>
    </row>
    <row r="616" ht="12.75">
      <c r="A616" s="604"/>
    </row>
    <row r="617" ht="12.75">
      <c r="A617" s="604"/>
    </row>
    <row r="618" ht="12.75">
      <c r="A618" s="604"/>
    </row>
    <row r="619" ht="12.75">
      <c r="A619" s="604"/>
    </row>
    <row r="620" ht="12.75">
      <c r="A620" s="604"/>
    </row>
    <row r="621" ht="12.75">
      <c r="A621" s="604"/>
    </row>
    <row r="622" ht="12.75">
      <c r="A622" s="604"/>
    </row>
    <row r="623" ht="12.75">
      <c r="A623" s="604"/>
    </row>
    <row r="624" ht="12.75">
      <c r="A624" s="604"/>
    </row>
    <row r="625" ht="12.75">
      <c r="A625" s="604"/>
    </row>
    <row r="626" ht="12.75">
      <c r="A626" s="604"/>
    </row>
    <row r="627" ht="12.75">
      <c r="A627" s="604"/>
    </row>
    <row r="628" ht="12.75">
      <c r="A628" s="604"/>
    </row>
    <row r="629" ht="12.75">
      <c r="A629" s="604"/>
    </row>
    <row r="630" ht="12.75">
      <c r="A630" s="604"/>
    </row>
    <row r="631" ht="12.75">
      <c r="A631" s="604"/>
    </row>
    <row r="632" ht="12.75">
      <c r="A632" s="604"/>
    </row>
    <row r="633" ht="12.75">
      <c r="A633" s="604"/>
    </row>
    <row r="634" ht="12.75">
      <c r="A634" s="604"/>
    </row>
    <row r="635" ht="12.75">
      <c r="A635" s="604"/>
    </row>
    <row r="636" ht="12.75">
      <c r="A636" s="604"/>
    </row>
    <row r="637" ht="12.75">
      <c r="A637" s="604"/>
    </row>
    <row r="638" ht="12.75">
      <c r="A638" s="604"/>
    </row>
    <row r="639" ht="12.75">
      <c r="A639" s="604"/>
    </row>
    <row r="640" ht="12.75">
      <c r="A640" s="604"/>
    </row>
    <row r="641" ht="12.75">
      <c r="A641" s="604"/>
    </row>
    <row r="642" ht="12.75">
      <c r="A642" s="604"/>
    </row>
    <row r="643" ht="12.75">
      <c r="A643" s="604"/>
    </row>
    <row r="644" ht="12.75">
      <c r="A644" s="604"/>
    </row>
    <row r="645" ht="12.75">
      <c r="A645" s="604"/>
    </row>
    <row r="646" ht="12.75">
      <c r="A646" s="604"/>
    </row>
    <row r="647" ht="12.75">
      <c r="A647" s="604"/>
    </row>
    <row r="648" ht="12.75">
      <c r="A648" s="604"/>
    </row>
    <row r="649" ht="12.75">
      <c r="A649" s="604"/>
    </row>
    <row r="650" ht="12.75">
      <c r="A650" s="604"/>
    </row>
    <row r="651" ht="12.75">
      <c r="A651" s="604"/>
    </row>
    <row r="652" ht="12.75">
      <c r="A652" s="604"/>
    </row>
    <row r="653" ht="12.75">
      <c r="A653" s="604"/>
    </row>
    <row r="654" ht="12.75">
      <c r="A654" s="604"/>
    </row>
    <row r="655" ht="12.75">
      <c r="A655" s="604"/>
    </row>
    <row r="656" ht="12.75">
      <c r="A656" s="604"/>
    </row>
    <row r="657" ht="12.75">
      <c r="A657" s="604"/>
    </row>
    <row r="658" ht="12.75">
      <c r="A658" s="604"/>
    </row>
    <row r="659" ht="12.75">
      <c r="A659" s="604"/>
    </row>
    <row r="660" ht="12.75">
      <c r="A660" s="604"/>
    </row>
    <row r="661" ht="12.75">
      <c r="A661" s="604"/>
    </row>
    <row r="662" ht="12.75">
      <c r="A662" s="604"/>
    </row>
    <row r="663" ht="12.75">
      <c r="A663" s="604"/>
    </row>
    <row r="664" ht="12.75">
      <c r="A664" s="604"/>
    </row>
    <row r="665" ht="12.75">
      <c r="A665" s="604"/>
    </row>
    <row r="666" ht="12.75">
      <c r="A666" s="604"/>
    </row>
    <row r="667" ht="12.75">
      <c r="A667" s="604"/>
    </row>
    <row r="668" ht="12.75">
      <c r="A668" s="604"/>
    </row>
    <row r="669" ht="12.75">
      <c r="A669" s="604"/>
    </row>
    <row r="670" ht="12.75">
      <c r="A670" s="604"/>
    </row>
    <row r="671" ht="12.75">
      <c r="A671" s="604"/>
    </row>
    <row r="672" ht="12.75">
      <c r="A672" s="604"/>
    </row>
    <row r="673" ht="12.75">
      <c r="A673" s="604"/>
    </row>
    <row r="674" ht="12.75">
      <c r="A674" s="604"/>
    </row>
    <row r="675" ht="12.75">
      <c r="A675" s="604"/>
    </row>
    <row r="676" ht="12.75">
      <c r="A676" s="604"/>
    </row>
    <row r="677" ht="12.75">
      <c r="A677" s="604"/>
    </row>
    <row r="678" ht="12.75">
      <c r="A678" s="604"/>
    </row>
    <row r="679" ht="12.75">
      <c r="A679" s="604"/>
    </row>
    <row r="680" ht="12.75">
      <c r="A680" s="604"/>
    </row>
    <row r="681" ht="12.75">
      <c r="A681" s="604"/>
    </row>
    <row r="682" ht="12.75">
      <c r="A682" s="604"/>
    </row>
    <row r="683" ht="12.75">
      <c r="A683" s="604"/>
    </row>
    <row r="684" ht="12.75">
      <c r="A684" s="604"/>
    </row>
    <row r="685" ht="12.75">
      <c r="A685" s="604"/>
    </row>
    <row r="686" ht="12.75">
      <c r="A686" s="604"/>
    </row>
    <row r="687" ht="12.75">
      <c r="A687" s="604"/>
    </row>
    <row r="688" ht="12.75">
      <c r="A688" s="604"/>
    </row>
    <row r="689" ht="12.75">
      <c r="A689" s="604"/>
    </row>
    <row r="690" ht="12.75">
      <c r="A690" s="604"/>
    </row>
    <row r="691" ht="12.75">
      <c r="A691" s="604"/>
    </row>
    <row r="692" ht="12.75">
      <c r="A692" s="604"/>
    </row>
    <row r="693" ht="12.75">
      <c r="A693" s="604"/>
    </row>
    <row r="694" ht="12.75">
      <c r="A694" s="604"/>
    </row>
    <row r="695" ht="12.75">
      <c r="A695" s="604"/>
    </row>
    <row r="696" ht="12.75">
      <c r="A696" s="604"/>
    </row>
    <row r="697" ht="12.75">
      <c r="A697" s="604"/>
    </row>
    <row r="698" ht="12.75">
      <c r="A698" s="604"/>
    </row>
    <row r="699" ht="12.75">
      <c r="A699" s="604"/>
    </row>
    <row r="700" ht="12.75">
      <c r="A700" s="604"/>
    </row>
    <row r="701" ht="12.75">
      <c r="A701" s="604"/>
    </row>
    <row r="702" ht="12.75">
      <c r="A702" s="604"/>
    </row>
    <row r="703" ht="12.75">
      <c r="A703" s="604"/>
    </row>
    <row r="704" ht="12.75">
      <c r="A704" s="604"/>
    </row>
    <row r="705" ht="12.75">
      <c r="A705" s="604"/>
    </row>
    <row r="706" ht="12.75">
      <c r="A706" s="604"/>
    </row>
    <row r="707" ht="12.75">
      <c r="A707" s="604"/>
    </row>
    <row r="708" ht="12.75">
      <c r="A708" s="604"/>
    </row>
    <row r="709" ht="12.75">
      <c r="A709" s="604"/>
    </row>
    <row r="710" ht="12.75">
      <c r="A710" s="604"/>
    </row>
    <row r="711" ht="12.75">
      <c r="A711" s="604"/>
    </row>
    <row r="712" ht="12.75">
      <c r="A712" s="604"/>
    </row>
    <row r="713" ht="12.75">
      <c r="A713" s="604"/>
    </row>
    <row r="714" ht="12.75">
      <c r="A714" s="604"/>
    </row>
    <row r="715" ht="12.75">
      <c r="A715" s="604"/>
    </row>
    <row r="716" ht="12.75">
      <c r="A716" s="604"/>
    </row>
    <row r="717" ht="12.75">
      <c r="A717" s="604"/>
    </row>
    <row r="718" ht="12.75">
      <c r="A718" s="604"/>
    </row>
    <row r="719" ht="12.75">
      <c r="A719" s="604"/>
    </row>
    <row r="720" ht="12.75">
      <c r="A720" s="604"/>
    </row>
    <row r="721" ht="12.75">
      <c r="A721" s="604"/>
    </row>
    <row r="722" ht="12.75">
      <c r="A722" s="604"/>
    </row>
    <row r="723" ht="12.75">
      <c r="A723" s="604"/>
    </row>
    <row r="724" ht="12.75">
      <c r="A724" s="604"/>
    </row>
    <row r="725" ht="12.75">
      <c r="A725" s="604"/>
    </row>
    <row r="726" ht="12.75">
      <c r="A726" s="604"/>
    </row>
    <row r="727" ht="12.75">
      <c r="A727" s="604"/>
    </row>
    <row r="728" ht="12.75">
      <c r="A728" s="604"/>
    </row>
    <row r="729" ht="12.75">
      <c r="A729" s="604"/>
    </row>
    <row r="730" ht="12.75">
      <c r="A730" s="604"/>
    </row>
    <row r="731" ht="12.75">
      <c r="A731" s="604"/>
    </row>
    <row r="732" ht="12.75">
      <c r="A732" s="604"/>
    </row>
    <row r="733" ht="12.75">
      <c r="A733" s="604"/>
    </row>
    <row r="734" ht="12.75">
      <c r="A734" s="604"/>
    </row>
    <row r="735" ht="12.75">
      <c r="A735" s="604"/>
    </row>
    <row r="736" ht="12.75">
      <c r="A736" s="604"/>
    </row>
    <row r="737" ht="12.75">
      <c r="A737" s="604"/>
    </row>
    <row r="738" ht="12.75">
      <c r="A738" s="604"/>
    </row>
    <row r="739" ht="12.75">
      <c r="A739" s="604"/>
    </row>
    <row r="740" ht="12.75">
      <c r="A740" s="604"/>
    </row>
    <row r="741" ht="12.75">
      <c r="A741" s="604"/>
    </row>
    <row r="742" ht="12.75">
      <c r="A742" s="604"/>
    </row>
    <row r="743" ht="12.75">
      <c r="A743" s="604"/>
    </row>
    <row r="744" ht="12.75">
      <c r="A744" s="604"/>
    </row>
    <row r="745" ht="12.75">
      <c r="A745" s="604"/>
    </row>
    <row r="746" ht="12.75">
      <c r="A746" s="604"/>
    </row>
    <row r="747" ht="12.75">
      <c r="A747" s="604"/>
    </row>
    <row r="748" ht="12.75">
      <c r="A748" s="604"/>
    </row>
    <row r="749" ht="12.75">
      <c r="A749" s="604"/>
    </row>
    <row r="750" ht="12.75">
      <c r="A750" s="604"/>
    </row>
    <row r="751" ht="12.75">
      <c r="A751" s="604"/>
    </row>
    <row r="752" ht="12.75">
      <c r="A752" s="604"/>
    </row>
    <row r="753" ht="12.75">
      <c r="A753" s="604"/>
    </row>
    <row r="754" ht="12.75">
      <c r="A754" s="604"/>
    </row>
    <row r="755" ht="12.75">
      <c r="A755" s="604"/>
    </row>
    <row r="756" ht="12.75">
      <c r="A756" s="604"/>
    </row>
    <row r="757" ht="12.75">
      <c r="A757" s="604"/>
    </row>
    <row r="758" ht="12.75">
      <c r="A758" s="604"/>
    </row>
    <row r="759" ht="12.75">
      <c r="A759" s="604"/>
    </row>
    <row r="760" ht="12.75">
      <c r="A760" s="604"/>
    </row>
    <row r="761" ht="12.75">
      <c r="A761" s="604"/>
    </row>
    <row r="762" ht="12.75">
      <c r="A762" s="604"/>
    </row>
    <row r="763" ht="12.75">
      <c r="A763" s="604"/>
    </row>
    <row r="764" ht="12.75">
      <c r="A764" s="604"/>
    </row>
    <row r="765" ht="12.75">
      <c r="A765" s="604"/>
    </row>
    <row r="766" ht="12.75">
      <c r="A766" s="604"/>
    </row>
    <row r="767" ht="12.75">
      <c r="A767" s="604"/>
    </row>
    <row r="768" ht="12.75">
      <c r="A768" s="604"/>
    </row>
    <row r="769" ht="12.75">
      <c r="A769" s="604"/>
    </row>
    <row r="770" ht="12.75">
      <c r="A770" s="604"/>
    </row>
    <row r="771" ht="12.75">
      <c r="A771" s="604"/>
    </row>
    <row r="772" ht="12.75">
      <c r="A772" s="604"/>
    </row>
    <row r="773" ht="12.75">
      <c r="A773" s="604"/>
    </row>
    <row r="774" ht="12.75">
      <c r="A774" s="604"/>
    </row>
    <row r="775" ht="12.75">
      <c r="A775" s="604"/>
    </row>
    <row r="776" ht="12.75">
      <c r="A776" s="604"/>
    </row>
    <row r="777" ht="12.75">
      <c r="A777" s="604"/>
    </row>
    <row r="778" ht="12.75">
      <c r="A778" s="604"/>
    </row>
    <row r="779" ht="12.75">
      <c r="A779" s="604"/>
    </row>
    <row r="780" ht="12.75">
      <c r="A780" s="604"/>
    </row>
    <row r="781" ht="12.75">
      <c r="A781" s="604"/>
    </row>
    <row r="782" ht="12.75">
      <c r="A782" s="604"/>
    </row>
    <row r="783" ht="12.75">
      <c r="A783" s="604"/>
    </row>
    <row r="784" ht="12.75">
      <c r="A784" s="604"/>
    </row>
    <row r="785" ht="12.75">
      <c r="A785" s="604"/>
    </row>
    <row r="786" ht="12.75">
      <c r="A786" s="604"/>
    </row>
    <row r="787" ht="12.75">
      <c r="A787" s="604"/>
    </row>
    <row r="788" ht="12.75">
      <c r="A788" s="604"/>
    </row>
    <row r="789" ht="12.75">
      <c r="A789" s="604"/>
    </row>
    <row r="790" ht="12.75">
      <c r="A790" s="604"/>
    </row>
    <row r="791" ht="12.75">
      <c r="A791" s="604"/>
    </row>
    <row r="792" ht="12.75">
      <c r="A792" s="604"/>
    </row>
    <row r="793" ht="12.75">
      <c r="A793" s="604"/>
    </row>
    <row r="794" ht="12.75">
      <c r="A794" s="604"/>
    </row>
    <row r="795" ht="12.75">
      <c r="A795" s="604"/>
    </row>
    <row r="796" ht="12.75">
      <c r="A796" s="604"/>
    </row>
    <row r="797" ht="12.75">
      <c r="A797" s="604"/>
    </row>
    <row r="798" ht="12.75">
      <c r="A798" s="604"/>
    </row>
    <row r="799" ht="12.75">
      <c r="A799" s="604"/>
    </row>
    <row r="800" ht="12.75">
      <c r="A800" s="604"/>
    </row>
    <row r="801" ht="12.75">
      <c r="A801" s="604"/>
    </row>
    <row r="802" ht="12.75">
      <c r="A802" s="604"/>
    </row>
    <row r="803" ht="12.75">
      <c r="A803" s="604"/>
    </row>
    <row r="804" ht="12.75">
      <c r="A804" s="604"/>
    </row>
    <row r="805" ht="12.75">
      <c r="A805" s="604"/>
    </row>
    <row r="806" ht="12.75">
      <c r="A806" s="604"/>
    </row>
    <row r="807" ht="12.75">
      <c r="A807" s="604"/>
    </row>
    <row r="808" ht="12.75">
      <c r="A808" s="604"/>
    </row>
    <row r="809" ht="12.75">
      <c r="A809" s="604"/>
    </row>
    <row r="810" ht="12.75">
      <c r="A810" s="604"/>
    </row>
    <row r="811" ht="12.75">
      <c r="A811" s="604"/>
    </row>
    <row r="812" ht="12.75">
      <c r="A812" s="604"/>
    </row>
    <row r="813" ht="12.75">
      <c r="A813" s="604"/>
    </row>
    <row r="814" ht="12.75">
      <c r="A814" s="604"/>
    </row>
    <row r="815" ht="12.75">
      <c r="A815" s="604"/>
    </row>
    <row r="816" ht="12.75">
      <c r="A816" s="604"/>
    </row>
    <row r="817" ht="12.75">
      <c r="A817" s="604"/>
    </row>
    <row r="818" ht="12.75">
      <c r="A818" s="604"/>
    </row>
    <row r="819" ht="12.75">
      <c r="A819" s="604"/>
    </row>
    <row r="820" ht="12.75">
      <c r="A820" s="604"/>
    </row>
    <row r="821" ht="12.75">
      <c r="A821" s="604"/>
    </row>
    <row r="822" ht="12.75">
      <c r="A822" s="604"/>
    </row>
    <row r="823" ht="12.75">
      <c r="A823" s="604"/>
    </row>
    <row r="824" ht="12.75">
      <c r="A824" s="604"/>
    </row>
    <row r="825" ht="12.75">
      <c r="A825" s="604"/>
    </row>
    <row r="826" ht="12.75">
      <c r="A826" s="604"/>
    </row>
    <row r="827" ht="12.75">
      <c r="A827" s="604"/>
    </row>
    <row r="828" ht="12.75">
      <c r="A828" s="604"/>
    </row>
    <row r="829" ht="12.75">
      <c r="A829" s="604"/>
    </row>
    <row r="830" ht="12.75">
      <c r="A830" s="604"/>
    </row>
    <row r="831" ht="12.75">
      <c r="A831" s="604"/>
    </row>
    <row r="832" ht="12.75">
      <c r="A832" s="604"/>
    </row>
    <row r="833" ht="12.75">
      <c r="A833" s="604"/>
    </row>
    <row r="834" ht="12.75">
      <c r="A834" s="604"/>
    </row>
    <row r="835" ht="12.75">
      <c r="A835" s="604"/>
    </row>
    <row r="836" ht="12.75">
      <c r="A836" s="604"/>
    </row>
    <row r="837" ht="12.75">
      <c r="A837" s="604"/>
    </row>
    <row r="838" ht="12.75">
      <c r="A838" s="604"/>
    </row>
    <row r="839" ht="12.75">
      <c r="A839" s="604"/>
    </row>
    <row r="840" ht="12.75">
      <c r="A840" s="604"/>
    </row>
    <row r="841" ht="12.75">
      <c r="A841" s="604"/>
    </row>
    <row r="842" ht="12.75">
      <c r="A842" s="604"/>
    </row>
    <row r="843" ht="12.75">
      <c r="A843" s="604"/>
    </row>
    <row r="844" ht="12.75">
      <c r="A844" s="604"/>
    </row>
    <row r="845" ht="12.75">
      <c r="A845" s="604"/>
    </row>
    <row r="846" ht="12.75">
      <c r="A846" s="604"/>
    </row>
    <row r="847" ht="12.75">
      <c r="A847" s="604"/>
    </row>
    <row r="848" ht="12.75">
      <c r="A848" s="604"/>
    </row>
    <row r="849" ht="12.75">
      <c r="A849" s="604"/>
    </row>
    <row r="850" ht="12.75">
      <c r="A850" s="604"/>
    </row>
    <row r="851" ht="12.75">
      <c r="A851" s="604"/>
    </row>
    <row r="852" ht="12.75">
      <c r="A852" s="604"/>
    </row>
    <row r="853" ht="12.75">
      <c r="A853" s="604"/>
    </row>
    <row r="854" ht="12.75">
      <c r="A854" s="604"/>
    </row>
    <row r="855" ht="12.75">
      <c r="A855" s="604"/>
    </row>
    <row r="856" ht="12.75">
      <c r="A856" s="604"/>
    </row>
    <row r="857" ht="12.75">
      <c r="A857" s="604"/>
    </row>
    <row r="858" ht="12.75">
      <c r="A858" s="604"/>
    </row>
    <row r="859" ht="12.75">
      <c r="A859" s="604"/>
    </row>
    <row r="860" ht="12.75">
      <c r="A860" s="604"/>
    </row>
    <row r="861" ht="12.75">
      <c r="A861" s="604"/>
    </row>
    <row r="862" ht="12.75">
      <c r="A862" s="604"/>
    </row>
    <row r="863" ht="12.75">
      <c r="A863" s="604"/>
    </row>
    <row r="864" ht="12.75">
      <c r="A864" s="604"/>
    </row>
    <row r="865" ht="12.75">
      <c r="A865" s="604"/>
    </row>
    <row r="866" ht="12.75">
      <c r="A866" s="604"/>
    </row>
    <row r="867" ht="12.75">
      <c r="A867" s="604"/>
    </row>
    <row r="868" ht="12.75">
      <c r="A868" s="604"/>
    </row>
    <row r="869" ht="12.75">
      <c r="A869" s="604"/>
    </row>
    <row r="870" ht="12.75">
      <c r="A870" s="604"/>
    </row>
    <row r="871" ht="12.75">
      <c r="A871" s="604"/>
    </row>
    <row r="872" ht="12.75">
      <c r="A872" s="604"/>
    </row>
    <row r="873" ht="12.75">
      <c r="A873" s="604"/>
    </row>
    <row r="874" ht="12.75">
      <c r="A874" s="604"/>
    </row>
    <row r="875" ht="12.75">
      <c r="A875" s="604"/>
    </row>
    <row r="876" ht="12.75">
      <c r="A876" s="604"/>
    </row>
    <row r="877" ht="12.75">
      <c r="A877" s="604"/>
    </row>
    <row r="878" ht="12.75">
      <c r="A878" s="604"/>
    </row>
    <row r="879" ht="12.75">
      <c r="A879" s="604"/>
    </row>
    <row r="880" ht="12.75">
      <c r="A880" s="604"/>
    </row>
    <row r="881" ht="12.75">
      <c r="A881" s="604"/>
    </row>
    <row r="882" ht="12.75">
      <c r="A882" s="604"/>
    </row>
    <row r="883" ht="12.75">
      <c r="A883" s="604"/>
    </row>
    <row r="884" ht="12.75">
      <c r="A884" s="604"/>
    </row>
    <row r="885" ht="12.75">
      <c r="A885" s="604"/>
    </row>
    <row r="886" ht="12.75">
      <c r="A886" s="604"/>
    </row>
    <row r="887" ht="12.75">
      <c r="A887" s="604"/>
    </row>
    <row r="888" ht="12.75">
      <c r="A888" s="604"/>
    </row>
    <row r="889" ht="12.75">
      <c r="A889" s="604"/>
    </row>
    <row r="890" ht="12.75">
      <c r="A890" s="604"/>
    </row>
    <row r="891" ht="12.75">
      <c r="A891" s="604"/>
    </row>
    <row r="892" ht="12.75">
      <c r="A892" s="604"/>
    </row>
    <row r="893" ht="12.75">
      <c r="A893" s="604"/>
    </row>
    <row r="894" ht="12.75">
      <c r="A894" s="604"/>
    </row>
    <row r="895" ht="12.75">
      <c r="A895" s="604"/>
    </row>
    <row r="896" ht="12.75">
      <c r="A896" s="604"/>
    </row>
    <row r="897" ht="12.75">
      <c r="A897" s="604"/>
    </row>
    <row r="898" ht="12.75">
      <c r="A898" s="604"/>
    </row>
    <row r="899" ht="12.75">
      <c r="A899" s="604"/>
    </row>
    <row r="900" ht="12.75">
      <c r="A900" s="604"/>
    </row>
    <row r="901" ht="12.75">
      <c r="A901" s="604"/>
    </row>
    <row r="902" ht="12.75">
      <c r="A902" s="604"/>
    </row>
    <row r="903" ht="12.75">
      <c r="A903" s="604"/>
    </row>
    <row r="904" ht="12.75">
      <c r="A904" s="604"/>
    </row>
    <row r="905" ht="12.75">
      <c r="A905" s="604"/>
    </row>
    <row r="906" ht="12.75">
      <c r="A906" s="604"/>
    </row>
    <row r="907" ht="12.75">
      <c r="A907" s="604"/>
    </row>
    <row r="908" ht="12.75">
      <c r="A908" s="604"/>
    </row>
    <row r="909" ht="12.75">
      <c r="A909" s="604"/>
    </row>
    <row r="910" ht="12.75">
      <c r="A910" s="604"/>
    </row>
    <row r="911" ht="12.75">
      <c r="A911" s="604"/>
    </row>
    <row r="912" ht="12.75">
      <c r="A912" s="604"/>
    </row>
    <row r="913" ht="12.75">
      <c r="A913" s="604"/>
    </row>
    <row r="914" ht="12.75">
      <c r="A914" s="604"/>
    </row>
    <row r="915" ht="12.75">
      <c r="A915" s="604"/>
    </row>
    <row r="916" ht="12.75">
      <c r="A916" s="604"/>
    </row>
    <row r="917" ht="12.75">
      <c r="A917" s="604"/>
    </row>
    <row r="918" ht="12.75">
      <c r="A918" s="604"/>
    </row>
    <row r="919" ht="12.75">
      <c r="A919" s="604"/>
    </row>
    <row r="920" ht="12.75">
      <c r="A920" s="604"/>
    </row>
    <row r="921" ht="12.75">
      <c r="A921" s="604"/>
    </row>
    <row r="922" ht="12.75">
      <c r="A922" s="604"/>
    </row>
    <row r="923" ht="12.75">
      <c r="A923" s="604"/>
    </row>
    <row r="924" ht="12.75">
      <c r="A924" s="604"/>
    </row>
    <row r="925" ht="12.75">
      <c r="A925" s="604"/>
    </row>
    <row r="926" ht="12.75">
      <c r="A926" s="604"/>
    </row>
    <row r="927" ht="12.75">
      <c r="A927" s="604"/>
    </row>
    <row r="928" ht="12.75">
      <c r="A928" s="604"/>
    </row>
    <row r="929" ht="12.75">
      <c r="A929" s="604"/>
    </row>
    <row r="930" ht="12.75">
      <c r="A930" s="604"/>
    </row>
    <row r="931" ht="12.75">
      <c r="A931" s="604"/>
    </row>
    <row r="932" ht="12.75">
      <c r="A932" s="604"/>
    </row>
    <row r="933" ht="12.75">
      <c r="A933" s="604"/>
    </row>
    <row r="934" ht="12.75">
      <c r="A934" s="604"/>
    </row>
    <row r="935" ht="12.75">
      <c r="A935" s="604"/>
    </row>
    <row r="936" ht="12.75">
      <c r="A936" s="604"/>
    </row>
    <row r="937" ht="12.75">
      <c r="A937" s="604"/>
    </row>
    <row r="938" ht="12.75">
      <c r="A938" s="604"/>
    </row>
    <row r="939" ht="12.75">
      <c r="A939" s="604"/>
    </row>
    <row r="940" ht="12.75">
      <c r="A940" s="604"/>
    </row>
    <row r="941" ht="12.75">
      <c r="A941" s="604"/>
    </row>
    <row r="942" ht="12.75">
      <c r="A942" s="604"/>
    </row>
    <row r="943" ht="12.75">
      <c r="A943" s="604"/>
    </row>
    <row r="944" ht="12.75">
      <c r="A944" s="604"/>
    </row>
    <row r="945" ht="12.75">
      <c r="A945" s="604"/>
    </row>
    <row r="946" ht="12.75">
      <c r="A946" s="604"/>
    </row>
    <row r="947" ht="12.75">
      <c r="A947" s="604"/>
    </row>
    <row r="948" ht="12.75">
      <c r="A948" s="604"/>
    </row>
    <row r="949" ht="12.75">
      <c r="A949" s="604"/>
    </row>
    <row r="950" ht="12.75">
      <c r="A950" s="604"/>
    </row>
    <row r="951" ht="12.75">
      <c r="A951" s="604"/>
    </row>
    <row r="952" ht="12.75">
      <c r="A952" s="604"/>
    </row>
    <row r="953" ht="12.75">
      <c r="A953" s="604"/>
    </row>
    <row r="954" ht="12.75">
      <c r="A954" s="604"/>
    </row>
    <row r="955" ht="12.75">
      <c r="A955" s="604"/>
    </row>
    <row r="956" ht="12.75">
      <c r="A956" s="604"/>
    </row>
    <row r="957" ht="12.75">
      <c r="A957" s="604"/>
    </row>
    <row r="958" ht="12.75">
      <c r="A958" s="604"/>
    </row>
    <row r="959" ht="12.75">
      <c r="A959" s="604"/>
    </row>
    <row r="960" ht="12.75">
      <c r="A960" s="604"/>
    </row>
    <row r="961" ht="12.75">
      <c r="A961" s="604"/>
    </row>
    <row r="962" ht="12.75">
      <c r="A962" s="604"/>
    </row>
    <row r="963" ht="12.75">
      <c r="A963" s="604"/>
    </row>
    <row r="964" ht="12.75">
      <c r="A964" s="604"/>
    </row>
    <row r="965" ht="12.75">
      <c r="A965" s="604"/>
    </row>
    <row r="966" ht="12.75">
      <c r="A966" s="604"/>
    </row>
    <row r="967" ht="12.75">
      <c r="A967" s="604"/>
    </row>
    <row r="968" ht="12.75">
      <c r="A968" s="604"/>
    </row>
    <row r="969" ht="12.75">
      <c r="A969" s="604"/>
    </row>
    <row r="970" ht="12.75">
      <c r="A970" s="604"/>
    </row>
    <row r="971" ht="12.75">
      <c r="A971" s="604"/>
    </row>
    <row r="972" ht="12.75">
      <c r="A972" s="604"/>
    </row>
    <row r="973" ht="12.75">
      <c r="A973" s="604"/>
    </row>
    <row r="974" ht="12.75">
      <c r="A974" s="604"/>
    </row>
    <row r="975" ht="12.75">
      <c r="A975" s="604"/>
    </row>
    <row r="976" ht="12.75">
      <c r="A976" s="604"/>
    </row>
    <row r="977" ht="12.75">
      <c r="A977" s="604"/>
    </row>
    <row r="978" ht="12.75">
      <c r="A978" s="604"/>
    </row>
    <row r="979" ht="12.75">
      <c r="A979" s="604"/>
    </row>
    <row r="980" ht="12.75">
      <c r="A980" s="604"/>
    </row>
    <row r="981" ht="12.75">
      <c r="A981" s="604"/>
    </row>
    <row r="982" ht="12.75">
      <c r="A982" s="604"/>
    </row>
    <row r="983" ht="12.75">
      <c r="A983" s="604"/>
    </row>
    <row r="984" ht="12.75">
      <c r="A984" s="604"/>
    </row>
    <row r="985" ht="12.75">
      <c r="A985" s="604"/>
    </row>
    <row r="986" ht="12.75">
      <c r="A986" s="604"/>
    </row>
    <row r="987" ht="12.75">
      <c r="A987" s="604"/>
    </row>
    <row r="988" ht="12.75">
      <c r="A988" s="604"/>
    </row>
    <row r="989" ht="12.75">
      <c r="A989" s="604"/>
    </row>
    <row r="990" ht="12.75">
      <c r="A990" s="604"/>
    </row>
    <row r="991" ht="12.75">
      <c r="A991" s="604"/>
    </row>
    <row r="992" ht="12.75">
      <c r="A992" s="604"/>
    </row>
    <row r="993" ht="12.75">
      <c r="A993" s="604"/>
    </row>
    <row r="994" ht="12.75">
      <c r="A994" s="604"/>
    </row>
    <row r="995" ht="12.75">
      <c r="A995" s="604"/>
    </row>
    <row r="996" ht="12.75">
      <c r="A996" s="604"/>
    </row>
    <row r="997" ht="12.75">
      <c r="A997" s="604"/>
    </row>
    <row r="998" ht="12.75">
      <c r="A998" s="604"/>
    </row>
    <row r="999" ht="12.75">
      <c r="A999" s="604"/>
    </row>
    <row r="1000" ht="12.75">
      <c r="A1000" s="604"/>
    </row>
    <row r="1001" ht="12.75">
      <c r="A1001" s="604"/>
    </row>
    <row r="1002" ht="12.75">
      <c r="A1002" s="604"/>
    </row>
    <row r="1003" ht="12.75">
      <c r="A1003" s="604"/>
    </row>
    <row r="1004" ht="12.75">
      <c r="A1004" s="604"/>
    </row>
    <row r="1005" ht="12.75">
      <c r="A1005" s="604"/>
    </row>
    <row r="1006" ht="12.75">
      <c r="A1006" s="604"/>
    </row>
    <row r="1007" ht="12.75">
      <c r="A1007" s="604"/>
    </row>
    <row r="1008" ht="12.75">
      <c r="A1008" s="604"/>
    </row>
    <row r="1009" ht="12.75">
      <c r="A1009" s="604"/>
    </row>
    <row r="1010" ht="12.75">
      <c r="A1010" s="604"/>
    </row>
    <row r="1011" ht="12.75">
      <c r="A1011" s="604"/>
    </row>
    <row r="1012" ht="12.75">
      <c r="A1012" s="604"/>
    </row>
    <row r="1013" ht="12.75">
      <c r="A1013" s="604"/>
    </row>
    <row r="1014" ht="12.75">
      <c r="A1014" s="604"/>
    </row>
    <row r="1015" ht="12.75">
      <c r="A1015" s="604"/>
    </row>
    <row r="1016" ht="12.75">
      <c r="A1016" s="604"/>
    </row>
    <row r="1017" ht="12.75">
      <c r="A1017" s="604"/>
    </row>
    <row r="1018" ht="12.75">
      <c r="A1018" s="604"/>
    </row>
    <row r="1019" ht="12.75">
      <c r="A1019" s="604"/>
    </row>
    <row r="1020" ht="12.75">
      <c r="A1020" s="604"/>
    </row>
    <row r="1021" ht="12.75">
      <c r="A1021" s="604"/>
    </row>
    <row r="1022" ht="12.75">
      <c r="A1022" s="604"/>
    </row>
    <row r="1023" ht="12.75">
      <c r="A1023" s="604"/>
    </row>
    <row r="1024" ht="12.75">
      <c r="A1024" s="604"/>
    </row>
    <row r="1025" ht="12.75">
      <c r="A1025" s="604"/>
    </row>
    <row r="1026" ht="12.75">
      <c r="A1026" s="604"/>
    </row>
    <row r="1027" ht="12.75">
      <c r="A1027" s="604"/>
    </row>
    <row r="1028" ht="12.75">
      <c r="A1028" s="604"/>
    </row>
    <row r="1029" ht="12.75">
      <c r="A1029" s="604"/>
    </row>
    <row r="1030" ht="12.75">
      <c r="A1030" s="604"/>
    </row>
    <row r="1031" ht="12.75">
      <c r="A1031" s="604"/>
    </row>
    <row r="1032" ht="12.75">
      <c r="A1032" s="604"/>
    </row>
    <row r="1033" ht="12.75">
      <c r="A1033" s="604"/>
    </row>
    <row r="1034" ht="12.75">
      <c r="A1034" s="604"/>
    </row>
    <row r="1035" ht="12.75">
      <c r="A1035" s="604"/>
    </row>
    <row r="1036" ht="12.75">
      <c r="A1036" s="604"/>
    </row>
    <row r="1037" ht="12.75">
      <c r="A1037" s="604"/>
    </row>
    <row r="1038" ht="12.75">
      <c r="A1038" s="604"/>
    </row>
    <row r="1039" ht="12.75">
      <c r="A1039" s="604"/>
    </row>
    <row r="1040" ht="12.75">
      <c r="A1040" s="604"/>
    </row>
    <row r="1041" ht="12.75">
      <c r="A1041" s="604"/>
    </row>
    <row r="1042" ht="12.75">
      <c r="A1042" s="604"/>
    </row>
    <row r="1043" ht="12.75">
      <c r="A1043" s="604"/>
    </row>
    <row r="1044" ht="12.75">
      <c r="A1044" s="604"/>
    </row>
    <row r="1045" ht="12.75">
      <c r="A1045" s="604"/>
    </row>
    <row r="1046" ht="12.75">
      <c r="A1046" s="604"/>
    </row>
    <row r="1047" ht="12.75">
      <c r="A1047" s="604"/>
    </row>
    <row r="1048" ht="12.75">
      <c r="A1048" s="604"/>
    </row>
    <row r="1049" ht="12.75">
      <c r="A1049" s="604"/>
    </row>
    <row r="1050" ht="12.75">
      <c r="A1050" s="604"/>
    </row>
    <row r="1051" ht="12.75">
      <c r="A1051" s="604"/>
    </row>
    <row r="1052" ht="12.75">
      <c r="A1052" s="604"/>
    </row>
    <row r="1053" ht="12.75">
      <c r="A1053" s="604"/>
    </row>
    <row r="1054" ht="12.75">
      <c r="A1054" s="604"/>
    </row>
    <row r="1055" ht="12.75">
      <c r="A1055" s="604"/>
    </row>
    <row r="1056" ht="12.75">
      <c r="A1056" s="604"/>
    </row>
    <row r="1057" ht="12.75">
      <c r="A1057" s="604"/>
    </row>
    <row r="1058" ht="12.75">
      <c r="A1058" s="604"/>
    </row>
    <row r="1059" ht="12.75">
      <c r="A1059" s="604"/>
    </row>
    <row r="1060" ht="12.75">
      <c r="A1060" s="604"/>
    </row>
    <row r="1061" ht="12.75">
      <c r="A1061" s="604"/>
    </row>
    <row r="1062" ht="12.75">
      <c r="A1062" s="604"/>
    </row>
    <row r="1063" ht="12.75">
      <c r="A1063" s="604"/>
    </row>
    <row r="1064" ht="12.75">
      <c r="A1064" s="604"/>
    </row>
    <row r="1065" ht="12.75">
      <c r="A1065" s="604"/>
    </row>
    <row r="1066" ht="12.75">
      <c r="A1066" s="604"/>
    </row>
    <row r="1067" ht="12.75">
      <c r="A1067" s="604"/>
    </row>
    <row r="1068" ht="12.75">
      <c r="A1068" s="604"/>
    </row>
    <row r="1069" ht="12.75">
      <c r="A1069" s="604"/>
    </row>
    <row r="1070" ht="12.75">
      <c r="A1070" s="604"/>
    </row>
    <row r="1071" ht="12.75">
      <c r="A1071" s="604"/>
    </row>
    <row r="1072" ht="12.75">
      <c r="A1072" s="604"/>
    </row>
    <row r="1073" ht="12.75">
      <c r="A1073" s="604"/>
    </row>
    <row r="1074" ht="12.75">
      <c r="A1074" s="604"/>
    </row>
    <row r="1075" ht="12.75">
      <c r="A1075" s="604"/>
    </row>
    <row r="1076" ht="12.75">
      <c r="A1076" s="604"/>
    </row>
    <row r="1077" ht="12.75">
      <c r="A1077" s="604"/>
    </row>
    <row r="1078" ht="12.75">
      <c r="A1078" s="604"/>
    </row>
    <row r="1079" ht="12.75">
      <c r="A1079" s="604"/>
    </row>
    <row r="1080" ht="12.75">
      <c r="A1080" s="604"/>
    </row>
    <row r="1081" ht="12.75">
      <c r="A1081" s="604"/>
    </row>
    <row r="1082" ht="12.75">
      <c r="A1082" s="604"/>
    </row>
    <row r="1083" ht="12.75">
      <c r="A1083" s="604"/>
    </row>
    <row r="1084" ht="12.75">
      <c r="A1084" s="604"/>
    </row>
    <row r="1085" ht="12.75">
      <c r="A1085" s="604"/>
    </row>
    <row r="1086" ht="12.75">
      <c r="A1086" s="604"/>
    </row>
    <row r="1087" ht="12.75">
      <c r="A1087" s="604"/>
    </row>
    <row r="1088" ht="12.75">
      <c r="A1088" s="604"/>
    </row>
    <row r="1089" ht="12.75">
      <c r="A1089" s="604"/>
    </row>
    <row r="1090" ht="12.75">
      <c r="A1090" s="604"/>
    </row>
    <row r="1091" ht="12.75">
      <c r="A1091" s="604"/>
    </row>
    <row r="1092" ht="12.75">
      <c r="A1092" s="604"/>
    </row>
    <row r="1093" ht="12.75">
      <c r="A1093" s="604"/>
    </row>
    <row r="1094" ht="12.75">
      <c r="A1094" s="604"/>
    </row>
    <row r="1095" ht="12.75">
      <c r="A1095" s="604"/>
    </row>
    <row r="1096" ht="12.75">
      <c r="A1096" s="604"/>
    </row>
    <row r="1097" ht="12.75">
      <c r="A1097" s="604"/>
    </row>
    <row r="1098" ht="12.75">
      <c r="A1098" s="604"/>
    </row>
    <row r="1099" ht="12.75">
      <c r="A1099" s="604"/>
    </row>
    <row r="1100" ht="12.75">
      <c r="A1100" s="604"/>
    </row>
    <row r="1101" ht="12.75">
      <c r="A1101" s="604"/>
    </row>
    <row r="1102" ht="12.75">
      <c r="A1102" s="604"/>
    </row>
    <row r="1103" ht="12.75">
      <c r="A1103" s="604"/>
    </row>
    <row r="1104" ht="12.75">
      <c r="A1104" s="604"/>
    </row>
    <row r="1105" ht="12.75">
      <c r="A1105" s="604"/>
    </row>
    <row r="1106" ht="12.75">
      <c r="A1106" s="604"/>
    </row>
    <row r="1107" ht="12.75">
      <c r="A1107" s="604"/>
    </row>
    <row r="1108" ht="12.75">
      <c r="A1108" s="604"/>
    </row>
    <row r="1109" ht="12.75">
      <c r="A1109" s="604"/>
    </row>
    <row r="1110" ht="12.75">
      <c r="A1110" s="604"/>
    </row>
    <row r="1111" ht="12.75">
      <c r="A1111" s="604"/>
    </row>
    <row r="1112" ht="12.75">
      <c r="A1112" s="604"/>
    </row>
    <row r="1113" ht="12.75">
      <c r="A1113" s="604"/>
    </row>
    <row r="1114" ht="12.75">
      <c r="A1114" s="604"/>
    </row>
    <row r="1115" ht="12.75">
      <c r="A1115" s="604"/>
    </row>
    <row r="1116" ht="12.75">
      <c r="A1116" s="604"/>
    </row>
    <row r="1117" ht="12.75">
      <c r="A1117" s="604"/>
    </row>
    <row r="1118" ht="12.75">
      <c r="A1118" s="604"/>
    </row>
    <row r="1119" ht="12.75">
      <c r="A1119" s="604"/>
    </row>
    <row r="1120" ht="12.75">
      <c r="A1120" s="604"/>
    </row>
  </sheetData>
  <printOptions gridLines="1" horizontalCentered="1"/>
  <pageMargins left="0.4724409448818898" right="0.1968503937007874" top="0.64" bottom="0.43" header="0.35" footer="0.14"/>
  <pageSetup firstPageNumber="2" useFirstPageNumber="1" horizontalDpi="600" verticalDpi="600" orientation="landscape" paperSize="9" scale="85" r:id="rId1"/>
  <headerFooter alignWithMargins="0">
    <oddHeader>&amp;Lv Kč&amp;C&amp;"Arial,Tučné"&amp;14Plnění příjmů za leden - prosinec 2010&amp;R&amp;"Arial,Tučné"příloha č. 2</oddHeader>
    <oddFooter>&amp;L&amp;D&amp;C&amp;P</oddFooter>
  </headerFooter>
</worksheet>
</file>

<file path=xl/worksheets/sheet4.xml><?xml version="1.0" encoding="utf-8"?>
<worksheet xmlns="http://schemas.openxmlformats.org/spreadsheetml/2006/main" xmlns:r="http://schemas.openxmlformats.org/officeDocument/2006/relationships">
  <dimension ref="A1:IV78"/>
  <sheetViews>
    <sheetView workbookViewId="0" topLeftCell="A25">
      <selection activeCell="F52" sqref="F52"/>
    </sheetView>
  </sheetViews>
  <sheetFormatPr defaultColWidth="9.140625" defaultRowHeight="24.75" customHeight="1" outlineLevelCol="1"/>
  <cols>
    <col min="1" max="1" width="29.421875" style="38" customWidth="1"/>
    <col min="2" max="2" width="5.140625" style="38" customWidth="1"/>
    <col min="3" max="3" width="4.7109375" style="38" customWidth="1"/>
    <col min="4" max="4" width="10.28125" style="38" customWidth="1"/>
    <col min="5" max="5" width="32.8515625" style="27" customWidth="1"/>
    <col min="6" max="6" width="13.7109375" style="489" customWidth="1"/>
    <col min="7" max="7" width="13.28125" style="489" hidden="1" customWidth="1" outlineLevel="1"/>
    <col min="8" max="8" width="11.8515625" style="489" hidden="1" customWidth="1" outlineLevel="1"/>
    <col min="9" max="9" width="13.57421875" style="489" customWidth="1" collapsed="1"/>
    <col min="10" max="10" width="13.28125" style="490" customWidth="1"/>
    <col min="11" max="11" width="6.421875" style="490" customWidth="1"/>
    <col min="12" max="12" width="45.7109375" style="479" customWidth="1"/>
    <col min="13" max="13" width="9.140625" style="38" customWidth="1"/>
    <col min="14" max="14" width="15.57421875" style="38" customWidth="1" collapsed="1"/>
    <col min="15" max="15" width="11.28125" style="38" customWidth="1"/>
    <col min="16" max="16" width="9.140625" style="38" customWidth="1" collapsed="1"/>
    <col min="17" max="17" width="9.140625" style="38" customWidth="1"/>
    <col min="18" max="18" width="9.140625" style="38" customWidth="1" collapsed="1"/>
    <col min="19" max="19" width="9.140625" style="38" customWidth="1"/>
    <col min="20" max="20" width="9.140625" style="38" customWidth="1" collapsed="1"/>
    <col min="21" max="21" width="9.140625" style="38" customWidth="1"/>
    <col min="22" max="53" width="9.140625" style="38" customWidth="1" collapsed="1"/>
    <col min="54" max="16384" width="9.140625" style="38" customWidth="1"/>
  </cols>
  <sheetData>
    <row r="1" spans="1:256" s="351" customFormat="1" ht="55.5" customHeight="1" thickBot="1">
      <c r="A1" s="348" t="s">
        <v>177</v>
      </c>
      <c r="B1" s="349" t="s">
        <v>926</v>
      </c>
      <c r="C1" s="348" t="s">
        <v>587</v>
      </c>
      <c r="D1" s="349" t="s">
        <v>588</v>
      </c>
      <c r="E1" s="348" t="s">
        <v>589</v>
      </c>
      <c r="F1" s="2" t="s">
        <v>423</v>
      </c>
      <c r="G1" s="7" t="s">
        <v>590</v>
      </c>
      <c r="H1" s="350" t="s">
        <v>424</v>
      </c>
      <c r="I1" s="7" t="s">
        <v>591</v>
      </c>
      <c r="J1" s="7" t="s">
        <v>70</v>
      </c>
      <c r="K1" s="7" t="s">
        <v>425</v>
      </c>
      <c r="L1" s="2" t="s">
        <v>863</v>
      </c>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3" s="27" customFormat="1" ht="12.75" customHeight="1">
      <c r="A2" s="352" t="s">
        <v>187</v>
      </c>
      <c r="B2" s="353">
        <v>2212</v>
      </c>
      <c r="C2" s="353">
        <v>5169</v>
      </c>
      <c r="D2" s="353" t="s">
        <v>592</v>
      </c>
      <c r="E2" s="354" t="s">
        <v>593</v>
      </c>
      <c r="F2" s="355">
        <v>35700000</v>
      </c>
      <c r="G2" s="355">
        <v>34567000</v>
      </c>
      <c r="H2" s="356"/>
      <c r="I2" s="356">
        <f aca="true" t="shared" si="0" ref="I2:I12">G2+H2</f>
        <v>34567000</v>
      </c>
      <c r="J2" s="357">
        <v>34566750.1</v>
      </c>
      <c r="K2" s="355">
        <f aca="true" t="shared" si="1" ref="K2:K12">J2/I2*100</f>
        <v>99.99927705615183</v>
      </c>
      <c r="L2" s="358" t="s">
        <v>594</v>
      </c>
      <c r="M2" s="10"/>
      <c r="N2" s="11"/>
      <c r="O2" s="10"/>
      <c r="P2" s="10"/>
      <c r="Q2" s="10"/>
      <c r="R2" s="10"/>
      <c r="S2" s="10"/>
      <c r="T2" s="10"/>
      <c r="U2" s="10"/>
      <c r="V2" s="10"/>
      <c r="W2" s="10"/>
    </row>
    <row r="3" spans="1:23" s="27" customFormat="1" ht="12.75" customHeight="1">
      <c r="A3" s="352" t="s">
        <v>187</v>
      </c>
      <c r="B3" s="353">
        <v>2212</v>
      </c>
      <c r="C3" s="353">
        <v>5169</v>
      </c>
      <c r="D3" s="353" t="s">
        <v>592</v>
      </c>
      <c r="E3" s="354" t="s">
        <v>595</v>
      </c>
      <c r="F3" s="355">
        <v>0</v>
      </c>
      <c r="G3" s="355">
        <v>21133000</v>
      </c>
      <c r="H3" s="24"/>
      <c r="I3" s="24">
        <f t="shared" si="0"/>
        <v>21133000</v>
      </c>
      <c r="J3" s="357">
        <v>21112625.1</v>
      </c>
      <c r="K3" s="355">
        <f t="shared" si="1"/>
        <v>99.90358728055648</v>
      </c>
      <c r="L3" s="359" t="s">
        <v>596</v>
      </c>
      <c r="M3" s="10"/>
      <c r="N3" s="11"/>
      <c r="O3" s="10"/>
      <c r="P3" s="10"/>
      <c r="Q3" s="10"/>
      <c r="R3" s="10"/>
      <c r="S3" s="10"/>
      <c r="T3" s="10"/>
      <c r="U3" s="10"/>
      <c r="V3" s="10"/>
      <c r="W3" s="10"/>
    </row>
    <row r="4" spans="1:23" s="27" customFormat="1" ht="12.75" customHeight="1">
      <c r="A4" s="360" t="s">
        <v>187</v>
      </c>
      <c r="B4" s="353">
        <v>2212</v>
      </c>
      <c r="C4" s="353">
        <v>5169</v>
      </c>
      <c r="D4" s="353" t="s">
        <v>592</v>
      </c>
      <c r="E4" s="354" t="s">
        <v>597</v>
      </c>
      <c r="F4" s="355">
        <v>240000</v>
      </c>
      <c r="G4" s="355">
        <v>240000</v>
      </c>
      <c r="H4" s="361"/>
      <c r="I4" s="361">
        <f t="shared" si="0"/>
        <v>240000</v>
      </c>
      <c r="J4" s="362">
        <v>240000</v>
      </c>
      <c r="K4" s="355">
        <f t="shared" si="1"/>
        <v>100</v>
      </c>
      <c r="L4" s="363" t="s">
        <v>598</v>
      </c>
      <c r="M4" s="10"/>
      <c r="N4" s="11"/>
      <c r="O4" s="10"/>
      <c r="P4" s="10"/>
      <c r="Q4" s="10"/>
      <c r="R4" s="10"/>
      <c r="S4" s="10"/>
      <c r="T4" s="10"/>
      <c r="U4" s="10"/>
      <c r="V4" s="10"/>
      <c r="W4" s="10"/>
    </row>
    <row r="5" spans="1:23" s="27" customFormat="1" ht="12.75" customHeight="1">
      <c r="A5" s="360" t="s">
        <v>187</v>
      </c>
      <c r="B5" s="364">
        <v>2212</v>
      </c>
      <c r="C5" s="364">
        <v>5169</v>
      </c>
      <c r="D5" s="364" t="s">
        <v>592</v>
      </c>
      <c r="E5" s="363" t="s">
        <v>599</v>
      </c>
      <c r="F5" s="355">
        <v>350000</v>
      </c>
      <c r="G5" s="355">
        <v>350000</v>
      </c>
      <c r="H5" s="361"/>
      <c r="I5" s="361">
        <f t="shared" si="0"/>
        <v>350000</v>
      </c>
      <c r="J5" s="362">
        <v>349551.1</v>
      </c>
      <c r="K5" s="355">
        <f t="shared" si="1"/>
        <v>99.87174285714285</v>
      </c>
      <c r="L5" s="363" t="s">
        <v>600</v>
      </c>
      <c r="M5" s="10"/>
      <c r="N5" s="11"/>
      <c r="O5" s="10"/>
      <c r="P5" s="10"/>
      <c r="Q5" s="10"/>
      <c r="R5" s="10"/>
      <c r="S5" s="10"/>
      <c r="T5" s="10"/>
      <c r="U5" s="10"/>
      <c r="V5" s="10"/>
      <c r="W5" s="10"/>
    </row>
    <row r="6" spans="1:23" s="27" customFormat="1" ht="12.75" customHeight="1">
      <c r="A6" s="360" t="s">
        <v>187</v>
      </c>
      <c r="B6" s="364">
        <v>2212</v>
      </c>
      <c r="C6" s="364">
        <v>5169</v>
      </c>
      <c r="D6" s="364" t="s">
        <v>592</v>
      </c>
      <c r="E6" s="363" t="s">
        <v>601</v>
      </c>
      <c r="F6" s="355">
        <v>5130000</v>
      </c>
      <c r="G6" s="355">
        <v>5130000</v>
      </c>
      <c r="H6" s="361"/>
      <c r="I6" s="361">
        <f t="shared" si="0"/>
        <v>5130000</v>
      </c>
      <c r="J6" s="362">
        <v>5130000</v>
      </c>
      <c r="K6" s="355">
        <f t="shared" si="1"/>
        <v>100</v>
      </c>
      <c r="L6" s="363" t="s">
        <v>602</v>
      </c>
      <c r="M6" s="10"/>
      <c r="N6" s="11"/>
      <c r="O6" s="10"/>
      <c r="P6" s="10"/>
      <c r="Q6" s="10"/>
      <c r="R6" s="10"/>
      <c r="S6" s="10"/>
      <c r="T6" s="10"/>
      <c r="U6" s="10"/>
      <c r="V6" s="10"/>
      <c r="W6" s="10"/>
    </row>
    <row r="7" spans="1:23" s="27" customFormat="1" ht="12.75" customHeight="1">
      <c r="A7" s="360" t="s">
        <v>187</v>
      </c>
      <c r="B7" s="364">
        <v>2212</v>
      </c>
      <c r="C7" s="364">
        <v>5169</v>
      </c>
      <c r="D7" s="364" t="s">
        <v>592</v>
      </c>
      <c r="E7" s="363" t="s">
        <v>603</v>
      </c>
      <c r="F7" s="355">
        <v>450000</v>
      </c>
      <c r="G7" s="355">
        <v>450000</v>
      </c>
      <c r="H7" s="361"/>
      <c r="I7" s="361">
        <f t="shared" si="0"/>
        <v>450000</v>
      </c>
      <c r="J7" s="362">
        <v>450000</v>
      </c>
      <c r="K7" s="355">
        <f t="shared" si="1"/>
        <v>100</v>
      </c>
      <c r="L7" s="363" t="s">
        <v>604</v>
      </c>
      <c r="M7" s="10"/>
      <c r="N7" s="11"/>
      <c r="O7" s="10"/>
      <c r="P7" s="10"/>
      <c r="Q7" s="10"/>
      <c r="R7" s="10"/>
      <c r="S7" s="10"/>
      <c r="T7" s="10"/>
      <c r="U7" s="10"/>
      <c r="V7" s="10"/>
      <c r="W7" s="10"/>
    </row>
    <row r="8" spans="1:23" s="27" customFormat="1" ht="12.75" customHeight="1">
      <c r="A8" s="360" t="s">
        <v>187</v>
      </c>
      <c r="B8" s="364">
        <v>2212</v>
      </c>
      <c r="C8" s="364">
        <v>5169</v>
      </c>
      <c r="D8" s="364" t="s">
        <v>592</v>
      </c>
      <c r="E8" s="363" t="s">
        <v>605</v>
      </c>
      <c r="F8" s="355">
        <v>1353000</v>
      </c>
      <c r="G8" s="355">
        <v>1353000</v>
      </c>
      <c r="H8" s="361"/>
      <c r="I8" s="361">
        <f t="shared" si="0"/>
        <v>1353000</v>
      </c>
      <c r="J8" s="362">
        <v>1353000</v>
      </c>
      <c r="K8" s="355">
        <f t="shared" si="1"/>
        <v>100</v>
      </c>
      <c r="L8" s="363" t="s">
        <v>606</v>
      </c>
      <c r="M8" s="10"/>
      <c r="N8" s="11"/>
      <c r="O8" s="10"/>
      <c r="P8" s="10"/>
      <c r="Q8" s="10"/>
      <c r="R8" s="10"/>
      <c r="S8" s="10"/>
      <c r="T8" s="10"/>
      <c r="U8" s="10"/>
      <c r="V8" s="10"/>
      <c r="W8" s="10"/>
    </row>
    <row r="9" spans="1:23" s="27" customFormat="1" ht="12.75" customHeight="1">
      <c r="A9" s="360" t="s">
        <v>187</v>
      </c>
      <c r="B9" s="364">
        <v>2212</v>
      </c>
      <c r="C9" s="364">
        <v>5169</v>
      </c>
      <c r="D9" s="364" t="s">
        <v>592</v>
      </c>
      <c r="E9" s="363" t="s">
        <v>607</v>
      </c>
      <c r="F9" s="355">
        <v>71000</v>
      </c>
      <c r="G9" s="355">
        <v>71000</v>
      </c>
      <c r="H9" s="361"/>
      <c r="I9" s="361">
        <f t="shared" si="0"/>
        <v>71000</v>
      </c>
      <c r="J9" s="362">
        <v>71000</v>
      </c>
      <c r="K9" s="355">
        <f t="shared" si="1"/>
        <v>100</v>
      </c>
      <c r="L9" s="363" t="s">
        <v>608</v>
      </c>
      <c r="M9" s="10"/>
      <c r="N9" s="11"/>
      <c r="O9" s="10"/>
      <c r="P9" s="10"/>
      <c r="Q9" s="10"/>
      <c r="R9" s="10"/>
      <c r="S9" s="10"/>
      <c r="T9" s="10"/>
      <c r="U9" s="10"/>
      <c r="V9" s="10"/>
      <c r="W9" s="10"/>
    </row>
    <row r="10" spans="1:23" s="27" customFormat="1" ht="12.75" customHeight="1">
      <c r="A10" s="360" t="s">
        <v>187</v>
      </c>
      <c r="B10" s="364">
        <v>2221</v>
      </c>
      <c r="C10" s="364">
        <v>5193</v>
      </c>
      <c r="D10" s="364" t="s">
        <v>609</v>
      </c>
      <c r="E10" s="363" t="s">
        <v>610</v>
      </c>
      <c r="F10" s="355">
        <v>167220000</v>
      </c>
      <c r="G10" s="355">
        <v>167825196</v>
      </c>
      <c r="H10" s="361"/>
      <c r="I10" s="361">
        <f t="shared" si="0"/>
        <v>167825196</v>
      </c>
      <c r="J10" s="362">
        <v>167825196</v>
      </c>
      <c r="K10" s="355">
        <f t="shared" si="1"/>
        <v>100</v>
      </c>
      <c r="L10" s="363" t="s">
        <v>611</v>
      </c>
      <c r="M10" s="10"/>
      <c r="N10" s="11"/>
      <c r="O10" s="10"/>
      <c r="P10" s="10"/>
      <c r="Q10" s="10"/>
      <c r="R10" s="10"/>
      <c r="S10" s="10"/>
      <c r="T10" s="10"/>
      <c r="U10" s="10"/>
      <c r="V10" s="10"/>
      <c r="W10" s="10"/>
    </row>
    <row r="11" spans="1:23" s="27" customFormat="1" ht="12.75" customHeight="1">
      <c r="A11" s="360" t="s">
        <v>187</v>
      </c>
      <c r="B11" s="364">
        <v>2221</v>
      </c>
      <c r="C11" s="364">
        <v>5193</v>
      </c>
      <c r="D11" s="364" t="s">
        <v>609</v>
      </c>
      <c r="E11" s="363" t="s">
        <v>610</v>
      </c>
      <c r="F11" s="355">
        <v>0</v>
      </c>
      <c r="G11" s="355">
        <v>185316</v>
      </c>
      <c r="H11" s="361"/>
      <c r="I11" s="361">
        <f t="shared" si="0"/>
        <v>185316</v>
      </c>
      <c r="J11" s="362">
        <v>185316</v>
      </c>
      <c r="K11" s="355">
        <f t="shared" si="1"/>
        <v>100</v>
      </c>
      <c r="L11" s="363" t="s">
        <v>173</v>
      </c>
      <c r="M11" s="10"/>
      <c r="N11" s="11"/>
      <c r="O11" s="10"/>
      <c r="P11" s="10"/>
      <c r="Q11" s="10"/>
      <c r="R11" s="10"/>
      <c r="S11" s="10"/>
      <c r="T11" s="10"/>
      <c r="U11" s="10"/>
      <c r="V11" s="10"/>
      <c r="W11" s="10"/>
    </row>
    <row r="12" spans="1:23" s="27" customFormat="1" ht="12.75" customHeight="1">
      <c r="A12" s="360" t="s">
        <v>187</v>
      </c>
      <c r="B12" s="364">
        <v>2221</v>
      </c>
      <c r="C12" s="364">
        <v>5193</v>
      </c>
      <c r="D12" s="365" t="s">
        <v>612</v>
      </c>
      <c r="E12" s="363" t="s">
        <v>610</v>
      </c>
      <c r="F12" s="355">
        <v>10911000</v>
      </c>
      <c r="G12" s="355">
        <v>10892248</v>
      </c>
      <c r="H12" s="361"/>
      <c r="I12" s="361">
        <f t="shared" si="0"/>
        <v>10892248</v>
      </c>
      <c r="J12" s="362">
        <v>10728633</v>
      </c>
      <c r="K12" s="355">
        <f t="shared" si="1"/>
        <v>98.49787665503025</v>
      </c>
      <c r="L12" s="363" t="s">
        <v>613</v>
      </c>
      <c r="M12" s="10"/>
      <c r="N12" s="11"/>
      <c r="O12" s="10"/>
      <c r="P12" s="10"/>
      <c r="Q12" s="10"/>
      <c r="R12" s="10"/>
      <c r="S12" s="10"/>
      <c r="T12" s="10"/>
      <c r="U12" s="10"/>
      <c r="V12" s="10"/>
      <c r="W12" s="10"/>
    </row>
    <row r="13" spans="1:23" s="27" customFormat="1" ht="12.75" customHeight="1">
      <c r="A13" s="360"/>
      <c r="B13" s="364"/>
      <c r="C13" s="364"/>
      <c r="D13" s="358" t="s">
        <v>614</v>
      </c>
      <c r="E13" s="363"/>
      <c r="F13" s="355"/>
      <c r="G13" s="355"/>
      <c r="H13" s="361"/>
      <c r="I13" s="361"/>
      <c r="J13" s="362"/>
      <c r="K13" s="355"/>
      <c r="L13" s="363"/>
      <c r="M13" s="10"/>
      <c r="N13" s="11"/>
      <c r="O13" s="10"/>
      <c r="P13" s="10"/>
      <c r="Q13" s="10"/>
      <c r="R13" s="10"/>
      <c r="S13" s="10"/>
      <c r="T13" s="10"/>
      <c r="U13" s="10"/>
      <c r="V13" s="10"/>
      <c r="W13" s="10"/>
    </row>
    <row r="14" spans="1:23" s="27" customFormat="1" ht="12.75" customHeight="1">
      <c r="A14" s="360"/>
      <c r="B14" s="364"/>
      <c r="C14" s="364"/>
      <c r="D14" s="366" t="s">
        <v>615</v>
      </c>
      <c r="E14" s="363"/>
      <c r="F14" s="355"/>
      <c r="G14" s="355"/>
      <c r="H14" s="361"/>
      <c r="I14" s="361"/>
      <c r="J14" s="362"/>
      <c r="K14" s="355"/>
      <c r="L14" s="363"/>
      <c r="M14" s="10"/>
      <c r="N14" s="11"/>
      <c r="O14" s="10"/>
      <c r="P14" s="10"/>
      <c r="Q14" s="10"/>
      <c r="R14" s="10"/>
      <c r="S14" s="10"/>
      <c r="T14" s="10"/>
      <c r="U14" s="10"/>
      <c r="V14" s="10"/>
      <c r="W14" s="10"/>
    </row>
    <row r="15" spans="1:23" s="27" customFormat="1" ht="12.75" customHeight="1">
      <c r="A15" s="360" t="s">
        <v>187</v>
      </c>
      <c r="B15" s="364">
        <v>2221</v>
      </c>
      <c r="C15" s="364">
        <v>5193</v>
      </c>
      <c r="D15" s="364" t="s">
        <v>616</v>
      </c>
      <c r="E15" s="363" t="s">
        <v>617</v>
      </c>
      <c r="F15" s="355">
        <v>519000</v>
      </c>
      <c r="G15" s="355">
        <v>17392</v>
      </c>
      <c r="H15" s="361"/>
      <c r="I15" s="361">
        <f>G15+H15</f>
        <v>17392</v>
      </c>
      <c r="J15" s="362">
        <v>0</v>
      </c>
      <c r="K15" s="355">
        <f aca="true" t="shared" si="2" ref="K15:K20">J15/I15*100</f>
        <v>0</v>
      </c>
      <c r="L15" s="363" t="s">
        <v>618</v>
      </c>
      <c r="M15" s="10"/>
      <c r="N15" s="11"/>
      <c r="O15" s="10"/>
      <c r="P15" s="10"/>
      <c r="Q15" s="10"/>
      <c r="R15" s="10"/>
      <c r="S15" s="10"/>
      <c r="T15" s="10"/>
      <c r="U15" s="10"/>
      <c r="V15" s="10"/>
      <c r="W15" s="10"/>
    </row>
    <row r="16" spans="1:23" s="27" customFormat="1" ht="12.75" customHeight="1">
      <c r="A16" s="360" t="s">
        <v>187</v>
      </c>
      <c r="B16" s="364">
        <v>2221</v>
      </c>
      <c r="C16" s="364">
        <v>5193</v>
      </c>
      <c r="D16" s="364" t="s">
        <v>616</v>
      </c>
      <c r="E16" s="363" t="s">
        <v>619</v>
      </c>
      <c r="F16" s="355">
        <v>80000</v>
      </c>
      <c r="G16" s="355">
        <v>361152</v>
      </c>
      <c r="H16" s="361"/>
      <c r="I16" s="361">
        <f>G16+H16</f>
        <v>361152</v>
      </c>
      <c r="J16" s="362">
        <v>361152</v>
      </c>
      <c r="K16" s="355">
        <f t="shared" si="2"/>
        <v>100</v>
      </c>
      <c r="L16" s="363" t="s">
        <v>620</v>
      </c>
      <c r="M16" s="10"/>
      <c r="N16" s="11"/>
      <c r="O16" s="10"/>
      <c r="P16" s="10"/>
      <c r="Q16" s="10"/>
      <c r="R16" s="10"/>
      <c r="S16" s="10"/>
      <c r="T16" s="10"/>
      <c r="U16" s="10"/>
      <c r="V16" s="10"/>
      <c r="W16" s="10"/>
    </row>
    <row r="17" spans="1:23" s="27" customFormat="1" ht="12.75" customHeight="1">
      <c r="A17" s="360" t="s">
        <v>187</v>
      </c>
      <c r="B17" s="364">
        <v>2221</v>
      </c>
      <c r="C17" s="364">
        <v>5193</v>
      </c>
      <c r="D17" s="364" t="s">
        <v>616</v>
      </c>
      <c r="E17" s="363" t="s">
        <v>621</v>
      </c>
      <c r="F17" s="355">
        <v>2100000</v>
      </c>
      <c r="G17" s="355">
        <v>2100000</v>
      </c>
      <c r="H17" s="361"/>
      <c r="I17" s="361">
        <f>G17+H17</f>
        <v>2100000</v>
      </c>
      <c r="J17" s="362">
        <v>156003</v>
      </c>
      <c r="K17" s="355">
        <f t="shared" si="2"/>
        <v>7.428714285714285</v>
      </c>
      <c r="L17" s="363" t="s">
        <v>622</v>
      </c>
      <c r="M17" s="10"/>
      <c r="N17" s="11"/>
      <c r="O17" s="10"/>
      <c r="P17" s="10"/>
      <c r="Q17" s="10"/>
      <c r="R17" s="10"/>
      <c r="S17" s="10"/>
      <c r="T17" s="10"/>
      <c r="U17" s="10"/>
      <c r="V17" s="10"/>
      <c r="W17" s="10"/>
    </row>
    <row r="18" spans="1:23" s="27" customFormat="1" ht="12.75" customHeight="1">
      <c r="A18" s="360" t="s">
        <v>187</v>
      </c>
      <c r="B18" s="364">
        <v>3631</v>
      </c>
      <c r="C18" s="364">
        <v>5169</v>
      </c>
      <c r="D18" s="364" t="s">
        <v>592</v>
      </c>
      <c r="E18" s="363" t="s">
        <v>623</v>
      </c>
      <c r="F18" s="355">
        <v>44443000</v>
      </c>
      <c r="G18" s="355">
        <v>44443000</v>
      </c>
      <c r="H18" s="361"/>
      <c r="I18" s="361">
        <f>G18+H18</f>
        <v>44443000</v>
      </c>
      <c r="J18" s="362">
        <v>44419563.3</v>
      </c>
      <c r="K18" s="355">
        <f t="shared" si="2"/>
        <v>99.9472657111356</v>
      </c>
      <c r="L18" s="363" t="s">
        <v>624</v>
      </c>
      <c r="M18" s="10"/>
      <c r="N18" s="11"/>
      <c r="O18" s="10"/>
      <c r="P18" s="10"/>
      <c r="Q18" s="10"/>
      <c r="R18" s="10"/>
      <c r="S18" s="10"/>
      <c r="T18" s="10"/>
      <c r="U18" s="10"/>
      <c r="V18" s="10"/>
      <c r="W18" s="10"/>
    </row>
    <row r="19" spans="1:23" s="27" customFormat="1" ht="12.75" customHeight="1">
      <c r="A19" s="360" t="s">
        <v>187</v>
      </c>
      <c r="B19" s="364">
        <v>3631</v>
      </c>
      <c r="C19" s="364">
        <v>5169</v>
      </c>
      <c r="D19" s="364" t="s">
        <v>592</v>
      </c>
      <c r="E19" s="367" t="s">
        <v>625</v>
      </c>
      <c r="F19" s="355">
        <v>450000</v>
      </c>
      <c r="G19" s="355">
        <v>450000</v>
      </c>
      <c r="H19" s="368"/>
      <c r="I19" s="361">
        <f>G19+H19</f>
        <v>450000</v>
      </c>
      <c r="J19" s="362">
        <v>450000</v>
      </c>
      <c r="K19" s="355">
        <f t="shared" si="2"/>
        <v>100</v>
      </c>
      <c r="L19" s="363" t="s">
        <v>626</v>
      </c>
      <c r="M19" s="10"/>
      <c r="N19" s="11"/>
      <c r="O19" s="10"/>
      <c r="P19" s="10"/>
      <c r="Q19" s="10"/>
      <c r="R19" s="10"/>
      <c r="S19" s="10"/>
      <c r="T19" s="10"/>
      <c r="U19" s="10"/>
      <c r="V19" s="10"/>
      <c r="W19" s="10"/>
    </row>
    <row r="20" spans="1:23" s="27" customFormat="1" ht="15.75" customHeight="1" thickBot="1">
      <c r="A20" s="369" t="s">
        <v>627</v>
      </c>
      <c r="B20" s="370"/>
      <c r="C20" s="370"/>
      <c r="D20" s="370"/>
      <c r="E20" s="371"/>
      <c r="F20" s="372">
        <f>SUM(F2:F19)</f>
        <v>269017000</v>
      </c>
      <c r="G20" s="372">
        <f>SUM(G2:G19)</f>
        <v>289568304</v>
      </c>
      <c r="H20" s="372">
        <f>SUM(H2:H19)</f>
        <v>0</v>
      </c>
      <c r="I20" s="372">
        <f>SUM(I2:I19)</f>
        <v>289568304</v>
      </c>
      <c r="J20" s="372">
        <f>SUM(J2:J19)</f>
        <v>287398789.6</v>
      </c>
      <c r="K20" s="373">
        <f t="shared" si="2"/>
        <v>99.25077628662011</v>
      </c>
      <c r="L20" s="374"/>
      <c r="M20" s="10"/>
      <c r="N20" s="13"/>
      <c r="O20" s="10"/>
      <c r="P20" s="10"/>
      <c r="Q20" s="10"/>
      <c r="R20" s="10"/>
      <c r="S20" s="10"/>
      <c r="T20" s="10"/>
      <c r="U20" s="10"/>
      <c r="V20" s="10"/>
      <c r="W20" s="10"/>
    </row>
    <row r="21" spans="1:14" s="10" customFormat="1" ht="13.5" customHeight="1" thickBot="1">
      <c r="A21" s="375"/>
      <c r="B21" s="376"/>
      <c r="C21" s="376"/>
      <c r="D21" s="376"/>
      <c r="E21" s="377"/>
      <c r="F21" s="378"/>
      <c r="G21" s="378"/>
      <c r="H21" s="378"/>
      <c r="I21" s="378"/>
      <c r="J21" s="379"/>
      <c r="K21" s="379"/>
      <c r="L21" s="380"/>
      <c r="N21" s="11"/>
    </row>
    <row r="22" spans="1:23" s="27" customFormat="1" ht="12.75" customHeight="1">
      <c r="A22" s="381" t="s">
        <v>628</v>
      </c>
      <c r="B22" s="382">
        <v>2229</v>
      </c>
      <c r="C22" s="382">
        <v>5169</v>
      </c>
      <c r="D22" s="383" t="s">
        <v>592</v>
      </c>
      <c r="E22" s="1337" t="s">
        <v>629</v>
      </c>
      <c r="F22" s="384">
        <v>50000</v>
      </c>
      <c r="G22" s="384">
        <v>50000</v>
      </c>
      <c r="H22" s="385"/>
      <c r="I22" s="361">
        <f>G22+H22</f>
        <v>50000</v>
      </c>
      <c r="J22" s="362">
        <v>49440</v>
      </c>
      <c r="K22" s="355">
        <f>J22/I22*100</f>
        <v>98.88</v>
      </c>
      <c r="L22" s="351" t="s">
        <v>630</v>
      </c>
      <c r="M22" s="10"/>
      <c r="N22" s="11"/>
      <c r="O22" s="10"/>
      <c r="P22" s="10"/>
      <c r="Q22" s="10"/>
      <c r="R22" s="10"/>
      <c r="S22" s="10"/>
      <c r="T22" s="10"/>
      <c r="U22" s="10"/>
      <c r="V22" s="10"/>
      <c r="W22" s="10"/>
    </row>
    <row r="23" spans="1:23" s="27" customFormat="1" ht="12.75" customHeight="1">
      <c r="A23" s="360"/>
      <c r="B23" s="386"/>
      <c r="C23" s="386"/>
      <c r="D23" s="387"/>
      <c r="E23" s="1338"/>
      <c r="F23" s="389"/>
      <c r="G23" s="389"/>
      <c r="H23" s="368"/>
      <c r="I23" s="361"/>
      <c r="J23" s="362"/>
      <c r="K23" s="355"/>
      <c r="L23" s="390"/>
      <c r="M23" s="10"/>
      <c r="N23" s="11"/>
      <c r="O23" s="10"/>
      <c r="P23" s="10"/>
      <c r="Q23" s="10"/>
      <c r="R23" s="10"/>
      <c r="S23" s="10"/>
      <c r="T23" s="10"/>
      <c r="U23" s="10"/>
      <c r="V23" s="10"/>
      <c r="W23" s="10"/>
    </row>
    <row r="24" spans="1:23" s="27" customFormat="1" ht="12.75" customHeight="1">
      <c r="A24" s="391" t="s">
        <v>628</v>
      </c>
      <c r="B24" s="387">
        <v>3421</v>
      </c>
      <c r="C24" s="387">
        <v>5169</v>
      </c>
      <c r="D24" s="387" t="s">
        <v>592</v>
      </c>
      <c r="E24" s="390" t="s">
        <v>631</v>
      </c>
      <c r="F24" s="389">
        <v>300000</v>
      </c>
      <c r="G24" s="389">
        <v>300000</v>
      </c>
      <c r="H24" s="24"/>
      <c r="I24" s="361">
        <f>G24+H24</f>
        <v>300000</v>
      </c>
      <c r="J24" s="362">
        <v>299773.4</v>
      </c>
      <c r="K24" s="355">
        <f>J24/I24*100</f>
        <v>99.92446666666667</v>
      </c>
      <c r="L24" s="291" t="s">
        <v>632</v>
      </c>
      <c r="M24" s="10"/>
      <c r="N24" s="11"/>
      <c r="O24" s="10"/>
      <c r="P24" s="10"/>
      <c r="Q24" s="10"/>
      <c r="R24" s="10"/>
      <c r="S24" s="10"/>
      <c r="T24" s="10"/>
      <c r="U24" s="10"/>
      <c r="V24" s="10"/>
      <c r="W24" s="10"/>
    </row>
    <row r="25" spans="1:23" s="27" customFormat="1" ht="15.75" customHeight="1" thickBot="1">
      <c r="A25" s="369" t="s">
        <v>633</v>
      </c>
      <c r="B25" s="370"/>
      <c r="C25" s="370"/>
      <c r="D25" s="370"/>
      <c r="E25" s="371"/>
      <c r="F25" s="372">
        <f>SUM(F22:F24)</f>
        <v>350000</v>
      </c>
      <c r="G25" s="372">
        <f>SUM(G22:G24)</f>
        <v>350000</v>
      </c>
      <c r="H25" s="372">
        <f>SUM(H22:H24)</f>
        <v>0</v>
      </c>
      <c r="I25" s="372">
        <f>SUM(I22:I24)</f>
        <v>350000</v>
      </c>
      <c r="J25" s="372">
        <f>SUM(J22:J24)</f>
        <v>349213.4</v>
      </c>
      <c r="K25" s="373">
        <f>J25/I25*100</f>
        <v>99.77525714285716</v>
      </c>
      <c r="L25" s="374"/>
      <c r="M25" s="10"/>
      <c r="N25" s="11"/>
      <c r="O25" s="10"/>
      <c r="P25" s="10"/>
      <c r="Q25" s="10"/>
      <c r="R25" s="10"/>
      <c r="S25" s="10"/>
      <c r="T25" s="10"/>
      <c r="U25" s="10"/>
      <c r="V25" s="10"/>
      <c r="W25" s="10"/>
    </row>
    <row r="26" spans="1:14" s="10" customFormat="1" ht="13.5" customHeight="1" thickBot="1">
      <c r="A26" s="375"/>
      <c r="B26" s="376"/>
      <c r="C26" s="376"/>
      <c r="D26" s="376"/>
      <c r="E26" s="377"/>
      <c r="F26" s="378"/>
      <c r="G26" s="378"/>
      <c r="H26" s="378"/>
      <c r="I26" s="392"/>
      <c r="J26" s="379"/>
      <c r="K26" s="379"/>
      <c r="L26" s="380"/>
      <c r="N26" s="11"/>
    </row>
    <row r="27" spans="1:23" s="27" customFormat="1" ht="12.75" customHeight="1">
      <c r="A27" s="393" t="s">
        <v>194</v>
      </c>
      <c r="B27" s="382">
        <v>3745</v>
      </c>
      <c r="C27" s="382">
        <v>5169</v>
      </c>
      <c r="D27" s="383" t="s">
        <v>592</v>
      </c>
      <c r="E27" s="394" t="s">
        <v>634</v>
      </c>
      <c r="F27" s="384">
        <v>347000</v>
      </c>
      <c r="G27" s="384">
        <v>347000</v>
      </c>
      <c r="H27" s="395"/>
      <c r="I27" s="396">
        <f>G27+H27</f>
        <v>347000</v>
      </c>
      <c r="J27" s="362">
        <v>347000.7</v>
      </c>
      <c r="K27" s="355">
        <f>J27/I27*100</f>
        <v>100.00020172910664</v>
      </c>
      <c r="L27" s="351" t="s">
        <v>630</v>
      </c>
      <c r="M27" s="10"/>
      <c r="N27" s="11"/>
      <c r="O27" s="10"/>
      <c r="P27" s="10"/>
      <c r="Q27" s="10"/>
      <c r="R27" s="10"/>
      <c r="S27" s="10"/>
      <c r="T27" s="10"/>
      <c r="U27" s="10"/>
      <c r="V27" s="10"/>
      <c r="W27" s="10"/>
    </row>
    <row r="28" spans="1:23" s="27" customFormat="1" ht="12.75" customHeight="1">
      <c r="A28" s="397" t="s">
        <v>194</v>
      </c>
      <c r="B28" s="386">
        <v>6409</v>
      </c>
      <c r="C28" s="386">
        <v>5169</v>
      </c>
      <c r="D28" s="398" t="s">
        <v>592</v>
      </c>
      <c r="E28" s="390" t="s">
        <v>635</v>
      </c>
      <c r="F28" s="389">
        <v>1155000</v>
      </c>
      <c r="G28" s="389">
        <v>1155000</v>
      </c>
      <c r="H28" s="368"/>
      <c r="I28" s="356">
        <f>G28+H28</f>
        <v>1155000</v>
      </c>
      <c r="J28" s="362">
        <v>1155000</v>
      </c>
      <c r="K28" s="355">
        <f>J28/I28*100</f>
        <v>100</v>
      </c>
      <c r="L28" s="390" t="s">
        <v>630</v>
      </c>
      <c r="M28" s="10"/>
      <c r="N28" s="11"/>
      <c r="O28" s="10"/>
      <c r="P28" s="10"/>
      <c r="Q28" s="10"/>
      <c r="R28" s="10"/>
      <c r="S28" s="10"/>
      <c r="T28" s="10"/>
      <c r="U28" s="10"/>
      <c r="V28" s="10"/>
      <c r="W28" s="10"/>
    </row>
    <row r="29" spans="1:23" s="27" customFormat="1" ht="15.75" customHeight="1" thickBot="1">
      <c r="A29" s="369" t="s">
        <v>636</v>
      </c>
      <c r="B29" s="370"/>
      <c r="C29" s="370"/>
      <c r="D29" s="370"/>
      <c r="E29" s="374"/>
      <c r="F29" s="372">
        <f>SUM(F27:F28)</f>
        <v>1502000</v>
      </c>
      <c r="G29" s="372">
        <f>SUM(G27:G28)</f>
        <v>1502000</v>
      </c>
      <c r="H29" s="372">
        <f>SUM(H27:H28)</f>
        <v>0</v>
      </c>
      <c r="I29" s="372">
        <f>SUM(I27:I28)</f>
        <v>1502000</v>
      </c>
      <c r="J29" s="372">
        <f>SUM(J27:J28)</f>
        <v>1502000.7</v>
      </c>
      <c r="K29" s="373">
        <f>J29/I29*100</f>
        <v>100.0000466045273</v>
      </c>
      <c r="L29" s="374"/>
      <c r="M29" s="10"/>
      <c r="N29" s="13"/>
      <c r="O29" s="10"/>
      <c r="P29" s="10"/>
      <c r="Q29" s="10"/>
      <c r="R29" s="10"/>
      <c r="S29" s="10"/>
      <c r="T29" s="10"/>
      <c r="U29" s="10"/>
      <c r="V29" s="10"/>
      <c r="W29" s="10"/>
    </row>
    <row r="30" spans="1:14" s="10" customFormat="1" ht="13.5" customHeight="1" thickBot="1">
      <c r="A30" s="375"/>
      <c r="B30" s="376"/>
      <c r="C30" s="376"/>
      <c r="D30" s="376"/>
      <c r="E30" s="377"/>
      <c r="F30" s="378"/>
      <c r="G30" s="378"/>
      <c r="H30" s="378"/>
      <c r="I30" s="392"/>
      <c r="J30" s="379"/>
      <c r="K30" s="379"/>
      <c r="L30" s="380"/>
      <c r="N30" s="11"/>
    </row>
    <row r="31" spans="1:23" s="27" customFormat="1" ht="12.75" customHeight="1">
      <c r="A31" s="381" t="s">
        <v>198</v>
      </c>
      <c r="B31" s="382">
        <v>2141</v>
      </c>
      <c r="C31" s="382">
        <v>5169</v>
      </c>
      <c r="D31" s="1339" t="s">
        <v>637</v>
      </c>
      <c r="E31" s="400" t="s">
        <v>638</v>
      </c>
      <c r="F31" s="384">
        <v>26759000</v>
      </c>
      <c r="G31" s="384">
        <v>26759000</v>
      </c>
      <c r="H31" s="395"/>
      <c r="I31" s="356">
        <f>G31+H31</f>
        <v>26759000</v>
      </c>
      <c r="J31" s="362">
        <v>26758873</v>
      </c>
      <c r="K31" s="355">
        <f>J31/I31*100</f>
        <v>99.99952539332561</v>
      </c>
      <c r="L31" s="351" t="s">
        <v>639</v>
      </c>
      <c r="M31" s="10"/>
      <c r="N31" s="11"/>
      <c r="O31" s="10"/>
      <c r="P31" s="10"/>
      <c r="Q31" s="10"/>
      <c r="R31" s="10"/>
      <c r="S31" s="10"/>
      <c r="T31" s="10"/>
      <c r="U31" s="10"/>
      <c r="V31" s="10"/>
      <c r="W31" s="10"/>
    </row>
    <row r="32" spans="1:23" s="27" customFormat="1" ht="12.75" customHeight="1">
      <c r="A32" s="360"/>
      <c r="B32" s="401"/>
      <c r="C32" s="401"/>
      <c r="D32" s="1340"/>
      <c r="E32" s="402"/>
      <c r="F32" s="389"/>
      <c r="G32" s="389"/>
      <c r="H32" s="20"/>
      <c r="I32" s="24"/>
      <c r="J32" s="362"/>
      <c r="K32" s="355"/>
      <c r="L32" s="363"/>
      <c r="M32" s="10"/>
      <c r="N32" s="11"/>
      <c r="O32" s="10"/>
      <c r="P32" s="10"/>
      <c r="Q32" s="10"/>
      <c r="R32" s="10"/>
      <c r="S32" s="10"/>
      <c r="T32" s="10"/>
      <c r="U32" s="10"/>
      <c r="V32" s="10"/>
      <c r="W32" s="10"/>
    </row>
    <row r="33" spans="1:23" s="27" customFormat="1" ht="12.75" customHeight="1">
      <c r="A33" s="360" t="s">
        <v>198</v>
      </c>
      <c r="B33" s="401">
        <v>3722</v>
      </c>
      <c r="C33" s="401">
        <v>5169</v>
      </c>
      <c r="D33" s="364" t="s">
        <v>592</v>
      </c>
      <c r="E33" s="359" t="s">
        <v>640</v>
      </c>
      <c r="F33" s="403">
        <v>69429000</v>
      </c>
      <c r="G33" s="403">
        <v>63109000</v>
      </c>
      <c r="H33" s="20"/>
      <c r="I33" s="24">
        <f>G33+H33</f>
        <v>63109000</v>
      </c>
      <c r="J33" s="362">
        <v>61809134.5</v>
      </c>
      <c r="K33" s="355">
        <f aca="true" t="shared" si="3" ref="K33:K38">J33/I33*100</f>
        <v>97.94028506235244</v>
      </c>
      <c r="L33" s="363" t="s">
        <v>630</v>
      </c>
      <c r="M33" s="10"/>
      <c r="N33" s="12"/>
      <c r="O33" s="10"/>
      <c r="P33" s="10"/>
      <c r="Q33" s="10"/>
      <c r="R33" s="10"/>
      <c r="S33" s="10"/>
      <c r="T33" s="10"/>
      <c r="U33" s="10"/>
      <c r="V33" s="10"/>
      <c r="W33" s="10"/>
    </row>
    <row r="34" spans="1:23" s="27" customFormat="1" ht="12.75" customHeight="1">
      <c r="A34" s="360" t="s">
        <v>198</v>
      </c>
      <c r="B34" s="401">
        <v>3722</v>
      </c>
      <c r="C34" s="401">
        <v>5169</v>
      </c>
      <c r="D34" s="364" t="s">
        <v>592</v>
      </c>
      <c r="E34" s="363" t="s">
        <v>641</v>
      </c>
      <c r="F34" s="403">
        <v>35740000</v>
      </c>
      <c r="G34" s="403">
        <v>35740000</v>
      </c>
      <c r="H34" s="20"/>
      <c r="I34" s="24">
        <f>G34+H34</f>
        <v>35740000</v>
      </c>
      <c r="J34" s="362">
        <v>35739785.9</v>
      </c>
      <c r="K34" s="355">
        <f t="shared" si="3"/>
        <v>99.99940095131505</v>
      </c>
      <c r="L34" s="363" t="s">
        <v>642</v>
      </c>
      <c r="M34" s="10"/>
      <c r="N34" s="404"/>
      <c r="O34" s="10"/>
      <c r="P34" s="10"/>
      <c r="Q34" s="10"/>
      <c r="R34" s="10"/>
      <c r="S34" s="10"/>
      <c r="T34" s="10"/>
      <c r="U34" s="10"/>
      <c r="V34" s="10"/>
      <c r="W34" s="10"/>
    </row>
    <row r="35" spans="1:23" s="27" customFormat="1" ht="12.75" customHeight="1">
      <c r="A35" s="360" t="s">
        <v>198</v>
      </c>
      <c r="B35" s="401">
        <v>3745</v>
      </c>
      <c r="C35" s="401">
        <v>5169</v>
      </c>
      <c r="D35" s="364" t="s">
        <v>592</v>
      </c>
      <c r="E35" s="363" t="s">
        <v>141</v>
      </c>
      <c r="F35" s="403">
        <v>41454000</v>
      </c>
      <c r="G35" s="403">
        <v>43996181.28</v>
      </c>
      <c r="H35" s="20"/>
      <c r="I35" s="24">
        <f>G35+H35</f>
        <v>43996181.28</v>
      </c>
      <c r="J35" s="362">
        <v>43996421.4</v>
      </c>
      <c r="K35" s="355">
        <f t="shared" si="3"/>
        <v>100.00054577464002</v>
      </c>
      <c r="L35" s="363" t="s">
        <v>630</v>
      </c>
      <c r="M35" s="10"/>
      <c r="N35" s="404"/>
      <c r="O35" s="10"/>
      <c r="P35" s="10"/>
      <c r="Q35" s="10"/>
      <c r="R35" s="10"/>
      <c r="S35" s="10"/>
      <c r="T35" s="10"/>
      <c r="U35" s="10"/>
      <c r="V35" s="10"/>
      <c r="W35" s="10"/>
    </row>
    <row r="36" spans="1:23" s="27" customFormat="1" ht="12.75" customHeight="1">
      <c r="A36" s="360" t="s">
        <v>198</v>
      </c>
      <c r="B36" s="386">
        <v>3745</v>
      </c>
      <c r="C36" s="386">
        <v>5169</v>
      </c>
      <c r="D36" s="387" t="s">
        <v>592</v>
      </c>
      <c r="E36" s="390" t="s">
        <v>142</v>
      </c>
      <c r="F36" s="403">
        <v>450000</v>
      </c>
      <c r="G36" s="403">
        <v>450000</v>
      </c>
      <c r="H36" s="356"/>
      <c r="I36" s="24">
        <f>G36+H36</f>
        <v>450000</v>
      </c>
      <c r="J36" s="362">
        <v>450000</v>
      </c>
      <c r="K36" s="355">
        <f t="shared" si="3"/>
        <v>100</v>
      </c>
      <c r="L36" s="390" t="s">
        <v>143</v>
      </c>
      <c r="M36" s="10"/>
      <c r="N36" s="404"/>
      <c r="O36" s="10"/>
      <c r="P36" s="10"/>
      <c r="Q36" s="10"/>
      <c r="R36" s="10"/>
      <c r="S36" s="10"/>
      <c r="T36" s="10"/>
      <c r="U36" s="10"/>
      <c r="V36" s="10"/>
      <c r="W36" s="10"/>
    </row>
    <row r="37" spans="1:23" s="27" customFormat="1" ht="12.75" customHeight="1">
      <c r="A37" s="405" t="s">
        <v>198</v>
      </c>
      <c r="B37" s="386">
        <v>6409</v>
      </c>
      <c r="C37" s="386">
        <v>5169</v>
      </c>
      <c r="D37" s="387" t="s">
        <v>592</v>
      </c>
      <c r="E37" s="390" t="s">
        <v>144</v>
      </c>
      <c r="F37" s="403">
        <v>1140000</v>
      </c>
      <c r="G37" s="403">
        <v>1140000</v>
      </c>
      <c r="H37" s="368"/>
      <c r="I37" s="356">
        <f>G37+H37</f>
        <v>1140000</v>
      </c>
      <c r="J37" s="362">
        <v>1140000</v>
      </c>
      <c r="K37" s="355">
        <f t="shared" si="3"/>
        <v>100</v>
      </c>
      <c r="L37" s="390" t="s">
        <v>632</v>
      </c>
      <c r="M37" s="10"/>
      <c r="N37" s="404"/>
      <c r="O37" s="10"/>
      <c r="P37" s="10"/>
      <c r="Q37" s="10"/>
      <c r="R37" s="10"/>
      <c r="S37" s="10"/>
      <c r="T37" s="10"/>
      <c r="U37" s="10"/>
      <c r="V37" s="10"/>
      <c r="W37" s="10"/>
    </row>
    <row r="38" spans="1:23" s="27" customFormat="1" ht="15.75" customHeight="1" thickBot="1">
      <c r="A38" s="369" t="s">
        <v>145</v>
      </c>
      <c r="B38" s="370"/>
      <c r="C38" s="370"/>
      <c r="D38" s="370"/>
      <c r="E38" s="371"/>
      <c r="F38" s="406">
        <f>SUM(F31:F37)</f>
        <v>174972000</v>
      </c>
      <c r="G38" s="406">
        <f>SUM(G31:G37)</f>
        <v>171194181.28</v>
      </c>
      <c r="H38" s="406">
        <f>SUM(H31:H37)</f>
        <v>0</v>
      </c>
      <c r="I38" s="406">
        <f>SUM(I31:I37)</f>
        <v>171194181.28</v>
      </c>
      <c r="J38" s="406">
        <f>SUM(J31:J37)</f>
        <v>169894214.8</v>
      </c>
      <c r="K38" s="373">
        <f t="shared" si="3"/>
        <v>99.24064797630369</v>
      </c>
      <c r="L38" s="374"/>
      <c r="M38" s="10"/>
      <c r="N38" s="13"/>
      <c r="O38" s="10"/>
      <c r="P38" s="10"/>
      <c r="Q38" s="10"/>
      <c r="R38" s="10"/>
      <c r="S38" s="10"/>
      <c r="T38" s="10"/>
      <c r="U38" s="10"/>
      <c r="V38" s="10"/>
      <c r="W38" s="10"/>
    </row>
    <row r="39" spans="1:14" s="10" customFormat="1" ht="13.5" customHeight="1" thickBot="1">
      <c r="A39" s="407"/>
      <c r="B39" s="408"/>
      <c r="C39" s="408"/>
      <c r="D39" s="376"/>
      <c r="E39" s="377"/>
      <c r="F39" s="409"/>
      <c r="G39" s="409"/>
      <c r="H39" s="409"/>
      <c r="I39" s="410"/>
      <c r="J39" s="411"/>
      <c r="K39" s="411"/>
      <c r="L39" s="380"/>
      <c r="N39" s="11"/>
    </row>
    <row r="40" spans="1:23" s="27" customFormat="1" ht="12.75" customHeight="1">
      <c r="A40" s="412" t="s">
        <v>146</v>
      </c>
      <c r="B40" s="399">
        <v>3319</v>
      </c>
      <c r="C40" s="399">
        <v>5169</v>
      </c>
      <c r="D40" s="413" t="s">
        <v>592</v>
      </c>
      <c r="E40" s="394" t="s">
        <v>147</v>
      </c>
      <c r="F40" s="384">
        <v>252000</v>
      </c>
      <c r="G40" s="384">
        <v>252000</v>
      </c>
      <c r="H40" s="414"/>
      <c r="I40" s="356">
        <f>G40+H40</f>
        <v>252000</v>
      </c>
      <c r="J40" s="362">
        <v>252000</v>
      </c>
      <c r="K40" s="355">
        <f>J40/I40*100</f>
        <v>100</v>
      </c>
      <c r="L40" s="351" t="s">
        <v>632</v>
      </c>
      <c r="M40" s="10"/>
      <c r="N40" s="11"/>
      <c r="O40" s="10"/>
      <c r="P40" s="10"/>
      <c r="Q40" s="10"/>
      <c r="R40" s="10"/>
      <c r="S40" s="10"/>
      <c r="T40" s="10"/>
      <c r="U40" s="10"/>
      <c r="V40" s="10"/>
      <c r="W40" s="10"/>
    </row>
    <row r="41" spans="1:23" s="27" customFormat="1" ht="12.75" customHeight="1">
      <c r="A41" s="415" t="s">
        <v>146</v>
      </c>
      <c r="B41" s="401">
        <v>3326</v>
      </c>
      <c r="C41" s="401">
        <v>5169</v>
      </c>
      <c r="D41" s="364" t="s">
        <v>592</v>
      </c>
      <c r="E41" s="416" t="s">
        <v>148</v>
      </c>
      <c r="F41" s="389">
        <v>314000</v>
      </c>
      <c r="G41" s="389">
        <v>314000</v>
      </c>
      <c r="H41" s="362"/>
      <c r="I41" s="24">
        <f>G41+H41</f>
        <v>314000</v>
      </c>
      <c r="J41" s="362">
        <v>314000.2</v>
      </c>
      <c r="K41" s="355">
        <f>J41/I41*100</f>
        <v>100.00006369426752</v>
      </c>
      <c r="L41" s="365" t="s">
        <v>149</v>
      </c>
      <c r="M41" s="10"/>
      <c r="N41" s="11"/>
      <c r="O41" s="10"/>
      <c r="P41" s="10"/>
      <c r="Q41" s="10"/>
      <c r="R41" s="10"/>
      <c r="S41" s="10"/>
      <c r="T41" s="10"/>
      <c r="U41" s="10"/>
      <c r="V41" s="10"/>
      <c r="W41" s="10"/>
    </row>
    <row r="42" spans="1:14" s="10" customFormat="1" ht="12.75" customHeight="1">
      <c r="A42" s="415"/>
      <c r="B42" s="401"/>
      <c r="C42" s="401"/>
      <c r="D42" s="364"/>
      <c r="E42" s="417"/>
      <c r="F42" s="389"/>
      <c r="G42" s="389"/>
      <c r="H42" s="418"/>
      <c r="I42" s="24"/>
      <c r="J42" s="362"/>
      <c r="K42" s="355"/>
      <c r="L42" s="388" t="s">
        <v>150</v>
      </c>
      <c r="N42" s="11"/>
    </row>
    <row r="43" spans="1:14" s="10" customFormat="1" ht="12.75" customHeight="1">
      <c r="A43" s="415" t="s">
        <v>146</v>
      </c>
      <c r="B43" s="364">
        <v>3612</v>
      </c>
      <c r="C43" s="364">
        <v>5169</v>
      </c>
      <c r="D43" s="364" t="s">
        <v>151</v>
      </c>
      <c r="E43" s="363" t="s">
        <v>152</v>
      </c>
      <c r="F43" s="389">
        <v>16298000</v>
      </c>
      <c r="G43" s="389">
        <v>16435000</v>
      </c>
      <c r="H43" s="419"/>
      <c r="I43" s="24">
        <f>G43+H43</f>
        <v>16435000</v>
      </c>
      <c r="J43" s="362">
        <v>16433468.5</v>
      </c>
      <c r="K43" s="355">
        <f>J43/I43*100</f>
        <v>99.99068147246729</v>
      </c>
      <c r="L43" s="363" t="s">
        <v>153</v>
      </c>
      <c r="N43" s="11"/>
    </row>
    <row r="44" spans="1:14" s="10" customFormat="1" ht="12.75" customHeight="1">
      <c r="A44" s="397" t="s">
        <v>146</v>
      </c>
      <c r="B44" s="420">
        <v>6409</v>
      </c>
      <c r="C44" s="420">
        <v>5169</v>
      </c>
      <c r="D44" s="353" t="s">
        <v>592</v>
      </c>
      <c r="E44" s="1341" t="s">
        <v>154</v>
      </c>
      <c r="F44" s="389">
        <v>485000</v>
      </c>
      <c r="G44" s="389">
        <v>485000</v>
      </c>
      <c r="H44" s="418"/>
      <c r="I44" s="24">
        <f>G44+H44</f>
        <v>485000</v>
      </c>
      <c r="J44" s="362">
        <v>485000</v>
      </c>
      <c r="K44" s="355">
        <f>J44/I44*100</f>
        <v>100</v>
      </c>
      <c r="L44" s="416" t="s">
        <v>630</v>
      </c>
      <c r="N44" s="11"/>
    </row>
    <row r="45" spans="1:14" s="10" customFormat="1" ht="12.75" customHeight="1">
      <c r="A45" s="397"/>
      <c r="B45" s="386"/>
      <c r="C45" s="386"/>
      <c r="D45" s="387"/>
      <c r="E45" s="1338"/>
      <c r="F45" s="389"/>
      <c r="G45" s="389"/>
      <c r="H45" s="418"/>
      <c r="I45" s="24"/>
      <c r="J45" s="362"/>
      <c r="K45" s="355"/>
      <c r="L45" s="421"/>
      <c r="N45" s="11"/>
    </row>
    <row r="46" spans="1:14" s="10" customFormat="1" ht="12.75" customHeight="1">
      <c r="A46" s="397" t="s">
        <v>146</v>
      </c>
      <c r="B46" s="386">
        <v>6409</v>
      </c>
      <c r="C46" s="386">
        <v>5169</v>
      </c>
      <c r="D46" s="387" t="s">
        <v>592</v>
      </c>
      <c r="E46" s="390" t="s">
        <v>155</v>
      </c>
      <c r="F46" s="389">
        <v>15000</v>
      </c>
      <c r="G46" s="389">
        <v>15000</v>
      </c>
      <c r="H46" s="422"/>
      <c r="I46" s="24">
        <f>G46+H46</f>
        <v>15000</v>
      </c>
      <c r="J46" s="362">
        <v>0</v>
      </c>
      <c r="K46" s="355">
        <f>J46/I46*100</f>
        <v>0</v>
      </c>
      <c r="L46" s="390" t="s">
        <v>608</v>
      </c>
      <c r="N46" s="11"/>
    </row>
    <row r="47" spans="1:14" s="10" customFormat="1" ht="12.75" customHeight="1">
      <c r="A47" s="397" t="s">
        <v>146</v>
      </c>
      <c r="B47" s="386">
        <v>6409</v>
      </c>
      <c r="C47" s="386">
        <v>5169</v>
      </c>
      <c r="D47" s="387" t="s">
        <v>592</v>
      </c>
      <c r="E47" s="390" t="s">
        <v>156</v>
      </c>
      <c r="F47" s="389">
        <v>250000</v>
      </c>
      <c r="G47" s="389">
        <v>250000</v>
      </c>
      <c r="H47" s="422"/>
      <c r="I47" s="24">
        <f>G47+H47</f>
        <v>250000</v>
      </c>
      <c r="J47" s="362">
        <v>248505.4</v>
      </c>
      <c r="K47" s="355">
        <f>J47/I47*100</f>
        <v>99.40216</v>
      </c>
      <c r="L47" s="390" t="s">
        <v>157</v>
      </c>
      <c r="N47" s="11"/>
    </row>
    <row r="48" spans="1:14" s="10" customFormat="1" ht="12.75" customHeight="1">
      <c r="A48" s="397" t="s">
        <v>146</v>
      </c>
      <c r="B48" s="386">
        <v>6409</v>
      </c>
      <c r="C48" s="386">
        <v>5169</v>
      </c>
      <c r="D48" s="387" t="s">
        <v>592</v>
      </c>
      <c r="E48" s="390" t="s">
        <v>158</v>
      </c>
      <c r="F48" s="389">
        <v>114000</v>
      </c>
      <c r="G48" s="389">
        <v>114000</v>
      </c>
      <c r="H48" s="422"/>
      <c r="I48" s="24">
        <f>G48+H48</f>
        <v>114000</v>
      </c>
      <c r="J48" s="362">
        <v>88302.9</v>
      </c>
      <c r="K48" s="355">
        <f>J48/I48*100</f>
        <v>77.45868421052631</v>
      </c>
      <c r="L48" s="390" t="s">
        <v>159</v>
      </c>
      <c r="N48" s="11"/>
    </row>
    <row r="49" spans="1:14" s="10" customFormat="1" ht="12.75" customHeight="1">
      <c r="A49" s="397" t="s">
        <v>146</v>
      </c>
      <c r="B49" s="386">
        <v>6409</v>
      </c>
      <c r="C49" s="386">
        <v>5169</v>
      </c>
      <c r="D49" s="387" t="s">
        <v>592</v>
      </c>
      <c r="E49" s="390" t="s">
        <v>160</v>
      </c>
      <c r="F49" s="389">
        <v>26000</v>
      </c>
      <c r="G49" s="389">
        <v>26000</v>
      </c>
      <c r="H49" s="422"/>
      <c r="I49" s="356">
        <f>G49+H49</f>
        <v>26000</v>
      </c>
      <c r="J49" s="362">
        <v>0</v>
      </c>
      <c r="K49" s="355">
        <f>J49/I49*100</f>
        <v>0</v>
      </c>
      <c r="L49" s="363" t="s">
        <v>161</v>
      </c>
      <c r="N49" s="11"/>
    </row>
    <row r="50" spans="1:14" s="10" customFormat="1" ht="15.75" customHeight="1" thickBot="1">
      <c r="A50" s="369" t="s">
        <v>162</v>
      </c>
      <c r="B50" s="370"/>
      <c r="C50" s="370"/>
      <c r="D50" s="370"/>
      <c r="E50" s="371"/>
      <c r="F50" s="406">
        <f>SUM(F40:F49)</f>
        <v>17754000</v>
      </c>
      <c r="G50" s="406">
        <f>SUM(G40:G49)</f>
        <v>17891000</v>
      </c>
      <c r="H50" s="406">
        <f>SUM(H40:H49)</f>
        <v>0</v>
      </c>
      <c r="I50" s="406">
        <f>SUM(I40:I49)</f>
        <v>17891000</v>
      </c>
      <c r="J50" s="406">
        <f>SUM(J40:J49)</f>
        <v>17821276.999999996</v>
      </c>
      <c r="K50" s="373">
        <f>J50/I50*100</f>
        <v>99.61029008998936</v>
      </c>
      <c r="L50" s="374"/>
      <c r="N50" s="11"/>
    </row>
    <row r="51" spans="1:14" s="10" customFormat="1" ht="12.75" customHeight="1" thickBot="1">
      <c r="A51" s="407"/>
      <c r="B51" s="408"/>
      <c r="C51" s="408"/>
      <c r="D51" s="376"/>
      <c r="E51" s="377"/>
      <c r="F51" s="409"/>
      <c r="G51" s="409"/>
      <c r="H51" s="409"/>
      <c r="I51" s="410"/>
      <c r="J51" s="411"/>
      <c r="K51" s="411"/>
      <c r="L51" s="380"/>
      <c r="N51" s="11"/>
    </row>
    <row r="52" spans="1:15" s="10" customFormat="1" ht="12.75" customHeight="1">
      <c r="A52" s="412" t="s">
        <v>200</v>
      </c>
      <c r="B52" s="399">
        <v>6409</v>
      </c>
      <c r="C52" s="399">
        <v>5169</v>
      </c>
      <c r="D52" s="413" t="s">
        <v>592</v>
      </c>
      <c r="E52" s="399"/>
      <c r="F52" s="1316">
        <v>247000</v>
      </c>
      <c r="G52" s="1316">
        <v>247000</v>
      </c>
      <c r="H52" s="1316">
        <v>-25000</v>
      </c>
      <c r="I52" s="1316">
        <f>G52+H52</f>
        <v>222000</v>
      </c>
      <c r="J52" s="1317">
        <v>229902.6</v>
      </c>
      <c r="K52" s="1317">
        <f>J52/I52*100</f>
        <v>103.55972972972974</v>
      </c>
      <c r="L52" s="423" t="s">
        <v>563</v>
      </c>
      <c r="N52" s="11"/>
      <c r="O52" s="424"/>
    </row>
    <row r="53" spans="1:14" s="429" customFormat="1" ht="15.75" customHeight="1" thickBot="1">
      <c r="A53" s="425" t="s">
        <v>163</v>
      </c>
      <c r="B53" s="426"/>
      <c r="C53" s="426"/>
      <c r="D53" s="426"/>
      <c r="E53" s="427"/>
      <c r="F53" s="406">
        <f>SUM(F52:F52)</f>
        <v>247000</v>
      </c>
      <c r="G53" s="406">
        <f>SUM(G52:G52)</f>
        <v>247000</v>
      </c>
      <c r="H53" s="406">
        <f>SUM(H52:H52)</f>
        <v>-25000</v>
      </c>
      <c r="I53" s="406">
        <f>SUM(I52:I52)</f>
        <v>222000</v>
      </c>
      <c r="J53" s="406">
        <f>SUM(J52:J52)</f>
        <v>229902.6</v>
      </c>
      <c r="K53" s="373">
        <f>J53/I53*100</f>
        <v>103.55972972972974</v>
      </c>
      <c r="L53" s="428"/>
      <c r="N53" s="430"/>
    </row>
    <row r="54" spans="1:23" s="429" customFormat="1" ht="15.75" customHeight="1" thickBot="1">
      <c r="A54" s="431" t="s">
        <v>164</v>
      </c>
      <c r="B54" s="432"/>
      <c r="C54" s="432"/>
      <c r="D54" s="433"/>
      <c r="E54" s="434"/>
      <c r="F54" s="435">
        <f>F20+F25+F29+F38+F50+F53</f>
        <v>463842000</v>
      </c>
      <c r="G54" s="435">
        <f>G20+G25+G29+G38+G50+G53</f>
        <v>480752485.28</v>
      </c>
      <c r="H54" s="435">
        <f>H20+H25+H29+H38+H50+H53</f>
        <v>-25000</v>
      </c>
      <c r="I54" s="435">
        <f>I20+I25+I29+I38+I50+I53</f>
        <v>480727485.28</v>
      </c>
      <c r="J54" s="435">
        <f>J20+J25+J29+J38+J50+J53</f>
        <v>477195398.1</v>
      </c>
      <c r="K54" s="435">
        <f>J54/I54*100</f>
        <v>99.26526206881168</v>
      </c>
      <c r="L54" s="436"/>
      <c r="M54" s="437"/>
      <c r="N54" s="438"/>
      <c r="O54" s="437"/>
      <c r="P54" s="437"/>
      <c r="Q54" s="437"/>
      <c r="R54" s="437"/>
      <c r="S54" s="437"/>
      <c r="T54" s="437"/>
      <c r="U54" s="437"/>
      <c r="V54" s="437"/>
      <c r="W54" s="437"/>
    </row>
    <row r="55" spans="1:23" s="429" customFormat="1" ht="13.5" customHeight="1" thickBot="1">
      <c r="A55" s="439"/>
      <c r="B55" s="440"/>
      <c r="C55" s="440"/>
      <c r="D55" s="441"/>
      <c r="E55" s="440"/>
      <c r="F55" s="442"/>
      <c r="G55" s="442"/>
      <c r="H55" s="442"/>
      <c r="I55" s="443"/>
      <c r="J55" s="444"/>
      <c r="K55" s="444"/>
      <c r="L55" s="445"/>
      <c r="M55" s="437"/>
      <c r="N55" s="446"/>
      <c r="O55" s="437"/>
      <c r="P55" s="437"/>
      <c r="Q55" s="437"/>
      <c r="R55" s="437"/>
      <c r="S55" s="437"/>
      <c r="T55" s="437"/>
      <c r="U55" s="437"/>
      <c r="V55" s="437"/>
      <c r="W55" s="437"/>
    </row>
    <row r="56" spans="1:23" s="429" customFormat="1" ht="16.5" customHeight="1">
      <c r="A56" s="447" t="s">
        <v>165</v>
      </c>
      <c r="B56" s="448"/>
      <c r="C56" s="448"/>
      <c r="D56" s="448"/>
      <c r="E56" s="448"/>
      <c r="F56" s="449">
        <f>F2+F3+F4+F5+F6+F7+F8+F9+F18+F19+F22+F24+F27+F28+F33+F34+F35+F36+F37++F40+F41+F44+F46+F47+F48+F49+F52</f>
        <v>239955000</v>
      </c>
      <c r="G56" s="449">
        <f>G2+G3+G4+G5+G6+G7+G8+G9+G18+G19+G22+G24+G27+G28+G33+G34+G35+G36+G37++G40+G41+G44+G46+G47+G48+G49+G52</f>
        <v>256177181.28</v>
      </c>
      <c r="H56" s="449">
        <f>H2+H3+H4+H5+H6+H7+H8+H9+H18+H19+H22+H24+H27+H28+H33+H34+H35+H36+H37++H40+H41+H44+H46+H47+H48+H49+H52</f>
        <v>-25000</v>
      </c>
      <c r="I56" s="449">
        <f>I2+I3+I4+I5+I6+I7+I8+I9+I18+I19+I22+I24+I27+I28+I33+I34+I35+I36+I37++I40+I41+I44+I46+I47+I48+I49+I52</f>
        <v>256152181.28</v>
      </c>
      <c r="J56" s="449">
        <f>J2+J3+J4+J5+J6+J7+J8+J9+J18+J19+J22+J24+J27+J28+J33+J34+J35+J36+J37++J40+J41+J44+J46+J47+J48+J49+J52</f>
        <v>254746756.6</v>
      </c>
      <c r="K56" s="449">
        <f aca="true" t="shared" si="4" ref="K56:K63">J56/I56*100</f>
        <v>99.45133214443966</v>
      </c>
      <c r="L56" s="450"/>
      <c r="M56" s="437"/>
      <c r="N56" s="446"/>
      <c r="O56" s="437"/>
      <c r="P56" s="437"/>
      <c r="Q56" s="437"/>
      <c r="R56" s="437"/>
      <c r="S56" s="437"/>
      <c r="T56" s="437"/>
      <c r="U56" s="437"/>
      <c r="V56" s="437"/>
      <c r="W56" s="437"/>
    </row>
    <row r="57" spans="1:14" s="437" customFormat="1" ht="16.5" customHeight="1">
      <c r="A57" s="451" t="s">
        <v>166</v>
      </c>
      <c r="B57" s="452"/>
      <c r="C57" s="452"/>
      <c r="D57" s="452"/>
      <c r="E57" s="452"/>
      <c r="F57" s="453">
        <f>F58+F59+F60</f>
        <v>180830000</v>
      </c>
      <c r="G57" s="453">
        <f>G58+G59+G60</f>
        <v>181381304</v>
      </c>
      <c r="H57" s="453">
        <f>H58+H59+H60</f>
        <v>0</v>
      </c>
      <c r="I57" s="453">
        <f>I58+I59+I60</f>
        <v>181381304</v>
      </c>
      <c r="J57" s="453">
        <f>J58+J59+J60</f>
        <v>179256300</v>
      </c>
      <c r="K57" s="454">
        <f t="shared" si="4"/>
        <v>98.82843272534858</v>
      </c>
      <c r="L57" s="455"/>
      <c r="N57" s="446"/>
    </row>
    <row r="58" spans="1:14" s="437" customFormat="1" ht="16.5" customHeight="1">
      <c r="A58" s="456" t="s">
        <v>167</v>
      </c>
      <c r="B58" s="457"/>
      <c r="C58" s="457"/>
      <c r="D58" s="457"/>
      <c r="E58" s="457"/>
      <c r="F58" s="458">
        <f>F10+F11</f>
        <v>167220000</v>
      </c>
      <c r="G58" s="458">
        <f>G10+G11</f>
        <v>168010512</v>
      </c>
      <c r="H58" s="458">
        <f>H10+H11</f>
        <v>0</v>
      </c>
      <c r="I58" s="458">
        <f>I10+I11</f>
        <v>168010512</v>
      </c>
      <c r="J58" s="458">
        <f>J10+J11</f>
        <v>168010512</v>
      </c>
      <c r="K58" s="459">
        <f t="shared" si="4"/>
        <v>100</v>
      </c>
      <c r="L58" s="460"/>
      <c r="N58" s="446"/>
    </row>
    <row r="59" spans="1:14" s="437" customFormat="1" ht="16.5" customHeight="1">
      <c r="A59" s="461" t="s">
        <v>168</v>
      </c>
      <c r="B59" s="457"/>
      <c r="C59" s="457"/>
      <c r="D59" s="457"/>
      <c r="E59" s="457"/>
      <c r="F59" s="458">
        <f>F12</f>
        <v>10911000</v>
      </c>
      <c r="G59" s="458">
        <f>G12</f>
        <v>10892248</v>
      </c>
      <c r="H59" s="458">
        <f>H12</f>
        <v>0</v>
      </c>
      <c r="I59" s="458">
        <f>I12</f>
        <v>10892248</v>
      </c>
      <c r="J59" s="458">
        <f>J12</f>
        <v>10728633</v>
      </c>
      <c r="K59" s="459">
        <f t="shared" si="4"/>
        <v>98.49787665503025</v>
      </c>
      <c r="L59" s="460"/>
      <c r="N59" s="446"/>
    </row>
    <row r="60" spans="1:14" s="437" customFormat="1" ht="16.5" customHeight="1">
      <c r="A60" s="456" t="s">
        <v>169</v>
      </c>
      <c r="B60" s="457"/>
      <c r="C60" s="457"/>
      <c r="D60" s="457"/>
      <c r="E60" s="457"/>
      <c r="F60" s="458">
        <f>F15+F16+F17</f>
        <v>2699000</v>
      </c>
      <c r="G60" s="458">
        <f>G15+G16+G17</f>
        <v>2478544</v>
      </c>
      <c r="H60" s="458">
        <f>H15+H16+H17</f>
        <v>0</v>
      </c>
      <c r="I60" s="458">
        <f>I15+I16+I17</f>
        <v>2478544</v>
      </c>
      <c r="J60" s="458">
        <f>J15+J16+J17</f>
        <v>517155</v>
      </c>
      <c r="K60" s="458">
        <f t="shared" si="4"/>
        <v>20.865274128682003</v>
      </c>
      <c r="L60" s="460"/>
      <c r="N60" s="446"/>
    </row>
    <row r="61" spans="1:14" s="437" customFormat="1" ht="16.5" customHeight="1">
      <c r="A61" s="462" t="s">
        <v>170</v>
      </c>
      <c r="B61" s="463"/>
      <c r="C61" s="463"/>
      <c r="D61" s="463"/>
      <c r="E61" s="463"/>
      <c r="F61" s="464">
        <f>F31</f>
        <v>26759000</v>
      </c>
      <c r="G61" s="464">
        <f>G31</f>
        <v>26759000</v>
      </c>
      <c r="H61" s="464">
        <f>H31</f>
        <v>0</v>
      </c>
      <c r="I61" s="464">
        <f>I31</f>
        <v>26759000</v>
      </c>
      <c r="J61" s="464">
        <f>J31</f>
        <v>26758873</v>
      </c>
      <c r="K61" s="464">
        <f t="shared" si="4"/>
        <v>99.99952539332561</v>
      </c>
      <c r="L61" s="460"/>
      <c r="N61" s="446"/>
    </row>
    <row r="62" spans="1:14" s="437" customFormat="1" ht="16.5" customHeight="1" thickBot="1">
      <c r="A62" s="465" t="s">
        <v>171</v>
      </c>
      <c r="B62" s="466"/>
      <c r="C62" s="466"/>
      <c r="D62" s="466"/>
      <c r="E62" s="466"/>
      <c r="F62" s="467">
        <f>F43</f>
        <v>16298000</v>
      </c>
      <c r="G62" s="467">
        <f>G43</f>
        <v>16435000</v>
      </c>
      <c r="H62" s="467">
        <f>H43</f>
        <v>0</v>
      </c>
      <c r="I62" s="467">
        <f>I43</f>
        <v>16435000</v>
      </c>
      <c r="J62" s="467">
        <f>J43</f>
        <v>16433468.5</v>
      </c>
      <c r="K62" s="454">
        <f t="shared" si="4"/>
        <v>99.99068147246729</v>
      </c>
      <c r="L62" s="468"/>
      <c r="N62" s="446"/>
    </row>
    <row r="63" spans="1:14" s="474" customFormat="1" ht="18" customHeight="1" thickBot="1">
      <c r="A63" s="469" t="s">
        <v>172</v>
      </c>
      <c r="B63" s="470"/>
      <c r="C63" s="470"/>
      <c r="D63" s="470"/>
      <c r="E63" s="471"/>
      <c r="F63" s="435">
        <f>F56+F57+F61+F62</f>
        <v>463842000</v>
      </c>
      <c r="G63" s="435">
        <f>G56+G57+G61+G62</f>
        <v>480752485.28</v>
      </c>
      <c r="H63" s="435">
        <f>H56+H57+H61+H62</f>
        <v>-25000</v>
      </c>
      <c r="I63" s="435">
        <f>I56+I57+I61+I62</f>
        <v>480727485.28</v>
      </c>
      <c r="J63" s="435">
        <f>J56+J57+J61+J62</f>
        <v>477195398.1</v>
      </c>
      <c r="K63" s="472">
        <f t="shared" si="4"/>
        <v>99.26526206881168</v>
      </c>
      <c r="L63" s="473"/>
      <c r="N63" s="475"/>
    </row>
    <row r="64" spans="1:11" ht="24.75" customHeight="1">
      <c r="A64" s="27"/>
      <c r="B64" s="27"/>
      <c r="C64" s="27"/>
      <c r="D64" s="27"/>
      <c r="E64" s="476"/>
      <c r="F64" s="477"/>
      <c r="G64" s="478"/>
      <c r="H64" s="478"/>
      <c r="I64" s="478"/>
      <c r="J64" s="478"/>
      <c r="K64" s="477"/>
    </row>
    <row r="65" spans="1:12" ht="24.75" customHeight="1">
      <c r="A65" s="27"/>
      <c r="B65" s="27"/>
      <c r="C65" s="27"/>
      <c r="D65" s="480"/>
      <c r="E65" s="480"/>
      <c r="F65" s="481">
        <f>F54-F63</f>
        <v>0</v>
      </c>
      <c r="G65" s="481">
        <f>G54-G63</f>
        <v>0</v>
      </c>
      <c r="H65" s="481"/>
      <c r="I65" s="481"/>
      <c r="J65" s="481"/>
      <c r="K65" s="481"/>
      <c r="L65" s="482"/>
    </row>
    <row r="66" spans="1:12" ht="16.5" customHeight="1">
      <c r="A66" s="27"/>
      <c r="B66" s="27"/>
      <c r="C66" s="27"/>
      <c r="D66" s="480"/>
      <c r="E66" s="480"/>
      <c r="F66" s="483"/>
      <c r="G66" s="483"/>
      <c r="H66" s="483"/>
      <c r="I66" s="483"/>
      <c r="J66" s="484"/>
      <c r="K66" s="484"/>
      <c r="L66" s="482"/>
    </row>
    <row r="67" spans="1:11" ht="16.5" customHeight="1">
      <c r="A67" s="27"/>
      <c r="B67" s="27"/>
      <c r="C67" s="27"/>
      <c r="D67" s="480"/>
      <c r="E67" s="485"/>
      <c r="F67" s="486"/>
      <c r="G67" s="486"/>
      <c r="H67" s="486"/>
      <c r="I67" s="486"/>
      <c r="J67" s="39"/>
      <c r="K67" s="39"/>
    </row>
    <row r="68" spans="1:11" ht="16.5" customHeight="1">
      <c r="A68" s="27"/>
      <c r="B68" s="27"/>
      <c r="C68" s="27"/>
      <c r="D68" s="480"/>
      <c r="E68" s="480"/>
      <c r="F68" s="486"/>
      <c r="G68" s="486"/>
      <c r="H68" s="486"/>
      <c r="I68" s="486"/>
      <c r="J68" s="39"/>
      <c r="K68" s="39"/>
    </row>
    <row r="69" spans="1:11" ht="16.5" customHeight="1">
      <c r="A69" s="27"/>
      <c r="B69" s="27"/>
      <c r="C69" s="27"/>
      <c r="D69" s="480"/>
      <c r="E69" s="485"/>
      <c r="F69" s="486"/>
      <c r="G69" s="486"/>
      <c r="H69" s="486"/>
      <c r="I69" s="486"/>
      <c r="J69" s="39"/>
      <c r="K69" s="39"/>
    </row>
    <row r="70" spans="1:11" ht="16.5" customHeight="1">
      <c r="A70" s="27"/>
      <c r="B70" s="27"/>
      <c r="C70" s="27"/>
      <c r="D70" s="480"/>
      <c r="E70" s="480"/>
      <c r="F70" s="487"/>
      <c r="G70" s="487"/>
      <c r="H70" s="487"/>
      <c r="I70" s="487"/>
      <c r="J70" s="488"/>
      <c r="K70" s="488"/>
    </row>
    <row r="71" spans="1:11" ht="16.5" customHeight="1">
      <c r="A71" s="27"/>
      <c r="B71" s="27"/>
      <c r="C71" s="27"/>
      <c r="D71" s="480"/>
      <c r="E71" s="480"/>
      <c r="F71" s="486"/>
      <c r="G71" s="486"/>
      <c r="H71" s="486"/>
      <c r="I71" s="486"/>
      <c r="J71" s="39"/>
      <c r="K71" s="39"/>
    </row>
    <row r="72" spans="1:11" ht="16.5" customHeight="1">
      <c r="A72" s="27"/>
      <c r="B72" s="27"/>
      <c r="C72" s="27"/>
      <c r="D72" s="480"/>
      <c r="E72" s="480"/>
      <c r="F72" s="486"/>
      <c r="G72" s="486"/>
      <c r="H72" s="486"/>
      <c r="I72" s="486"/>
      <c r="J72" s="39"/>
      <c r="K72" s="39"/>
    </row>
    <row r="73" spans="1:11" ht="16.5" customHeight="1">
      <c r="A73" s="27"/>
      <c r="B73" s="27"/>
      <c r="C73" s="27"/>
      <c r="D73" s="27"/>
      <c r="F73" s="486"/>
      <c r="G73" s="486"/>
      <c r="H73" s="486"/>
      <c r="I73" s="486"/>
      <c r="J73" s="39"/>
      <c r="K73" s="39"/>
    </row>
    <row r="74" spans="1:11" ht="16.5" customHeight="1">
      <c r="A74" s="27"/>
      <c r="B74" s="27"/>
      <c r="C74" s="27"/>
      <c r="D74" s="27"/>
      <c r="F74" s="486"/>
      <c r="G74" s="486"/>
      <c r="H74" s="486"/>
      <c r="I74" s="486"/>
      <c r="J74" s="39"/>
      <c r="K74" s="39"/>
    </row>
    <row r="75" spans="1:11" ht="16.5" customHeight="1">
      <c r="A75" s="27"/>
      <c r="B75" s="27"/>
      <c r="C75" s="27"/>
      <c r="D75" s="27"/>
      <c r="F75" s="486"/>
      <c r="G75" s="486"/>
      <c r="H75" s="486"/>
      <c r="I75" s="486"/>
      <c r="J75" s="39"/>
      <c r="K75" s="39"/>
    </row>
    <row r="76" spans="1:11" ht="16.5" customHeight="1">
      <c r="A76" s="27"/>
      <c r="B76" s="27"/>
      <c r="C76" s="27"/>
      <c r="D76" s="27"/>
      <c r="F76" s="486"/>
      <c r="G76" s="486"/>
      <c r="H76" s="486"/>
      <c r="I76" s="486"/>
      <c r="J76" s="39"/>
      <c r="K76" s="39"/>
    </row>
    <row r="77" spans="1:11" ht="16.5" customHeight="1">
      <c r="A77" s="27"/>
      <c r="B77" s="27"/>
      <c r="C77" s="27"/>
      <c r="D77" s="27"/>
      <c r="F77" s="486"/>
      <c r="G77" s="486"/>
      <c r="H77" s="486"/>
      <c r="I77" s="486"/>
      <c r="J77" s="39"/>
      <c r="K77" s="39"/>
    </row>
    <row r="78" spans="1:11" ht="16.5" customHeight="1">
      <c r="A78" s="27"/>
      <c r="B78" s="27"/>
      <c r="C78" s="27"/>
      <c r="D78" s="27"/>
      <c r="F78" s="486"/>
      <c r="G78" s="486"/>
      <c r="H78" s="486"/>
      <c r="I78" s="486"/>
      <c r="J78" s="39"/>
      <c r="K78" s="39"/>
    </row>
    <row r="79" ht="16.5" customHeight="1"/>
    <row r="80" ht="16.5" customHeight="1"/>
    <row r="81" ht="16.5" customHeight="1"/>
  </sheetData>
  <mergeCells count="3">
    <mergeCell ref="E22:E23"/>
    <mergeCell ref="D31:D32"/>
    <mergeCell ref="E44:E45"/>
  </mergeCells>
  <printOptions/>
  <pageMargins left="0.1968503937007874" right="0.1968503937007874" top="1.2598425196850394" bottom="0.8267716535433072" header="0.5118110236220472" footer="0.5118110236220472"/>
  <pageSetup firstPageNumber="6" useFirstPageNumber="1" horizontalDpi="600" verticalDpi="600" orientation="landscape" paperSize="9" scale="84" r:id="rId1"/>
  <headerFooter alignWithMargins="0">
    <oddHeader>&amp;Lv Kč&amp;C&amp;"Arial,Tučné"&amp;11
Sumář objednávek veřejných služeb u akciových společností v roce 2010                     
(individuální příslib)                     &amp;R&amp;"Arial,Tučné"příloha č. 3</oddHeader>
    <oddFooter>&amp;C&amp;P</oddFooter>
  </headerFooter>
  <rowBreaks count="1" manualBreakCount="1">
    <brk id="38" max="10" man="1"/>
  </rowBreaks>
</worksheet>
</file>

<file path=xl/worksheets/sheet5.xml><?xml version="1.0" encoding="utf-8"?>
<worksheet xmlns="http://schemas.openxmlformats.org/spreadsheetml/2006/main" xmlns:r="http://schemas.openxmlformats.org/officeDocument/2006/relationships">
  <dimension ref="A1:Q11"/>
  <sheetViews>
    <sheetView workbookViewId="0" topLeftCell="A1">
      <selection activeCell="Q5" sqref="Q5"/>
    </sheetView>
  </sheetViews>
  <sheetFormatPr defaultColWidth="9.140625" defaultRowHeight="12.75" outlineLevelCol="1"/>
  <cols>
    <col min="1" max="1" width="23.57421875" style="27" customWidth="1"/>
    <col min="2" max="2" width="5.7109375" style="27" hidden="1" customWidth="1" outlineLevel="1"/>
    <col min="3" max="3" width="12.28125" style="39" hidden="1" customWidth="1"/>
    <col min="4" max="5" width="12.28125" style="39" hidden="1" customWidth="1" outlineLevel="1"/>
    <col min="6" max="10" width="12.28125" style="39" hidden="1" customWidth="1"/>
    <col min="11" max="11" width="14.421875" style="39" customWidth="1"/>
    <col min="12" max="12" width="14.00390625" style="39" hidden="1" customWidth="1" outlineLevel="1"/>
    <col min="13" max="13" width="12.7109375" style="39" hidden="1" customWidth="1" outlineLevel="1"/>
    <col min="14" max="14" width="16.00390625" style="39" customWidth="1" collapsed="1"/>
    <col min="15" max="15" width="14.140625" style="39" customWidth="1"/>
    <col min="16" max="16" width="7.7109375" style="39" customWidth="1"/>
    <col min="17" max="17" width="48.00390625" style="27" customWidth="1"/>
    <col min="18" max="16384" width="9.140625" style="27" customWidth="1"/>
  </cols>
  <sheetData>
    <row r="1" spans="1:17" s="15" customFormat="1" ht="53.25" customHeight="1" thickBot="1">
      <c r="A1" s="7" t="s">
        <v>347</v>
      </c>
      <c r="B1" s="7" t="s">
        <v>348</v>
      </c>
      <c r="C1" s="7" t="s">
        <v>349</v>
      </c>
      <c r="D1" s="14" t="str">
        <f>'[2]03-OKR'!D1</f>
        <v>Upravený rozpočet                                      k 15.9.2009</v>
      </c>
      <c r="E1" s="7" t="s">
        <v>424</v>
      </c>
      <c r="F1" s="14" t="s">
        <v>350</v>
      </c>
      <c r="G1" s="1" t="s">
        <v>351</v>
      </c>
      <c r="H1" s="7" t="s">
        <v>352</v>
      </c>
      <c r="I1" s="7" t="s">
        <v>353</v>
      </c>
      <c r="J1" s="7" t="s">
        <v>422</v>
      </c>
      <c r="K1" s="7" t="s">
        <v>354</v>
      </c>
      <c r="L1" s="8" t="s">
        <v>355</v>
      </c>
      <c r="M1" s="9" t="s">
        <v>424</v>
      </c>
      <c r="N1" s="8" t="s">
        <v>465</v>
      </c>
      <c r="O1" s="9" t="s">
        <v>69</v>
      </c>
      <c r="P1" s="7" t="s">
        <v>425</v>
      </c>
      <c r="Q1" s="7" t="s">
        <v>863</v>
      </c>
    </row>
    <row r="2" spans="1:17" ht="40.5" customHeight="1">
      <c r="A2" s="16" t="s">
        <v>356</v>
      </c>
      <c r="B2" s="17" t="s">
        <v>357</v>
      </c>
      <c r="C2" s="18">
        <v>23165</v>
      </c>
      <c r="D2" s="19">
        <f>C2+155000</f>
        <v>178165</v>
      </c>
      <c r="E2" s="20">
        <v>2731355</v>
      </c>
      <c r="F2" s="21">
        <v>26051</v>
      </c>
      <c r="G2" s="22">
        <v>22186</v>
      </c>
      <c r="H2" s="18">
        <v>23320</v>
      </c>
      <c r="I2" s="18">
        <v>23165</v>
      </c>
      <c r="J2" s="23">
        <v>1956</v>
      </c>
      <c r="K2" s="20">
        <v>23165000</v>
      </c>
      <c r="L2" s="20">
        <v>23165000</v>
      </c>
      <c r="M2" s="20"/>
      <c r="N2" s="24">
        <v>25320074</v>
      </c>
      <c r="O2" s="20">
        <v>25320074</v>
      </c>
      <c r="P2" s="25">
        <f aca="true" t="shared" si="0" ref="P2:P9">O2/N2*100</f>
        <v>100</v>
      </c>
      <c r="Q2" s="26" t="s">
        <v>923</v>
      </c>
    </row>
    <row r="3" spans="1:17" ht="40.5" customHeight="1">
      <c r="A3" s="28" t="s">
        <v>358</v>
      </c>
      <c r="B3" s="29" t="s">
        <v>359</v>
      </c>
      <c r="C3" s="18">
        <v>90000</v>
      </c>
      <c r="D3" s="24">
        <f>C3+2000000+2701000</f>
        <v>4791000</v>
      </c>
      <c r="E3" s="20">
        <v>2410000</v>
      </c>
      <c r="F3" s="30">
        <v>98643</v>
      </c>
      <c r="G3" s="22">
        <v>83643</v>
      </c>
      <c r="H3" s="18">
        <v>97247</v>
      </c>
      <c r="I3" s="18">
        <v>90000</v>
      </c>
      <c r="J3" s="23">
        <v>1958</v>
      </c>
      <c r="K3" s="20">
        <v>90000000</v>
      </c>
      <c r="L3" s="20">
        <v>91000000</v>
      </c>
      <c r="M3" s="20"/>
      <c r="N3" s="24">
        <v>100841728</v>
      </c>
      <c r="O3" s="20">
        <v>100841728</v>
      </c>
      <c r="P3" s="25">
        <f t="shared" si="0"/>
        <v>100</v>
      </c>
      <c r="Q3" s="26" t="s">
        <v>748</v>
      </c>
    </row>
    <row r="4" spans="1:17" ht="40.5" customHeight="1">
      <c r="A4" s="28" t="s">
        <v>360</v>
      </c>
      <c r="B4" s="29" t="s">
        <v>361</v>
      </c>
      <c r="C4" s="18">
        <v>4200</v>
      </c>
      <c r="D4" s="24">
        <f>C4+250000</f>
        <v>254200</v>
      </c>
      <c r="E4" s="20"/>
      <c r="F4" s="30">
        <v>4450</v>
      </c>
      <c r="G4" s="22">
        <v>3750</v>
      </c>
      <c r="H4" s="18">
        <v>4370</v>
      </c>
      <c r="I4" s="18">
        <v>4200</v>
      </c>
      <c r="J4" s="23">
        <v>1960</v>
      </c>
      <c r="K4" s="20">
        <v>4200000</v>
      </c>
      <c r="L4" s="20">
        <v>4260000</v>
      </c>
      <c r="M4" s="20"/>
      <c r="N4" s="24">
        <v>4260000</v>
      </c>
      <c r="O4" s="20">
        <v>4260000</v>
      </c>
      <c r="P4" s="25">
        <f t="shared" si="0"/>
        <v>100</v>
      </c>
      <c r="Q4" s="31" t="s">
        <v>362</v>
      </c>
    </row>
    <row r="5" spans="1:17" ht="57.75" customHeight="1">
      <c r="A5" s="28" t="s">
        <v>363</v>
      </c>
      <c r="B5" s="29" t="s">
        <v>364</v>
      </c>
      <c r="C5" s="18">
        <v>35000</v>
      </c>
      <c r="D5" s="24">
        <f>C5+745000+1950000+489000</f>
        <v>3219000</v>
      </c>
      <c r="E5" s="20"/>
      <c r="F5" s="30">
        <v>38720</v>
      </c>
      <c r="G5" s="22">
        <v>32880</v>
      </c>
      <c r="H5" s="18">
        <v>35732</v>
      </c>
      <c r="I5" s="18">
        <v>35000</v>
      </c>
      <c r="J5" s="23">
        <v>1964</v>
      </c>
      <c r="K5" s="20">
        <v>35000000</v>
      </c>
      <c r="L5" s="20">
        <v>36515000</v>
      </c>
      <c r="M5" s="20"/>
      <c r="N5" s="24">
        <v>37664000</v>
      </c>
      <c r="O5" s="20">
        <v>37664000</v>
      </c>
      <c r="P5" s="25">
        <f t="shared" si="0"/>
        <v>100</v>
      </c>
      <c r="Q5" s="31" t="s">
        <v>922</v>
      </c>
    </row>
    <row r="6" spans="1:17" ht="40.5" customHeight="1">
      <c r="A6" s="28" t="s">
        <v>869</v>
      </c>
      <c r="B6" s="29" t="s">
        <v>870</v>
      </c>
      <c r="C6" s="18">
        <v>17744</v>
      </c>
      <c r="D6" s="24">
        <f>C6+625000+50000+625000+161000</f>
        <v>1478744</v>
      </c>
      <c r="E6" s="20">
        <v>625000</v>
      </c>
      <c r="F6" s="30">
        <v>19830</v>
      </c>
      <c r="G6" s="22">
        <v>16866</v>
      </c>
      <c r="H6" s="18">
        <v>17744</v>
      </c>
      <c r="I6" s="18">
        <v>17744</v>
      </c>
      <c r="J6" s="23">
        <v>1974</v>
      </c>
      <c r="K6" s="20">
        <v>17744000</v>
      </c>
      <c r="L6" s="20">
        <v>18869544</v>
      </c>
      <c r="M6" s="20">
        <v>562772</v>
      </c>
      <c r="N6" s="24">
        <v>19995088</v>
      </c>
      <c r="O6" s="20">
        <v>19995088</v>
      </c>
      <c r="P6" s="25">
        <f t="shared" si="0"/>
        <v>100</v>
      </c>
      <c r="Q6" s="31" t="s">
        <v>924</v>
      </c>
    </row>
    <row r="7" spans="1:17" ht="40.5" customHeight="1">
      <c r="A7" s="28" t="s">
        <v>871</v>
      </c>
      <c r="B7" s="29" t="s">
        <v>872</v>
      </c>
      <c r="C7" s="18">
        <v>3500</v>
      </c>
      <c r="D7" s="24">
        <f>C7+396000</f>
        <v>399500</v>
      </c>
      <c r="E7" s="20"/>
      <c r="F7" s="30">
        <v>3896</v>
      </c>
      <c r="G7" s="22">
        <v>3312</v>
      </c>
      <c r="H7" s="18">
        <v>3896</v>
      </c>
      <c r="I7" s="18">
        <v>3500</v>
      </c>
      <c r="J7" s="23">
        <v>1975</v>
      </c>
      <c r="K7" s="20">
        <v>3500000</v>
      </c>
      <c r="L7" s="20">
        <v>3500000</v>
      </c>
      <c r="M7" s="20"/>
      <c r="N7" s="24">
        <v>3525000</v>
      </c>
      <c r="O7" s="20">
        <v>3525000</v>
      </c>
      <c r="P7" s="25">
        <f t="shared" si="0"/>
        <v>100</v>
      </c>
      <c r="Q7" s="31" t="s">
        <v>925</v>
      </c>
    </row>
    <row r="8" spans="1:17" ht="70.5" customHeight="1" thickBot="1">
      <c r="A8" s="28" t="s">
        <v>873</v>
      </c>
      <c r="B8" s="29" t="s">
        <v>874</v>
      </c>
      <c r="C8" s="18">
        <v>0</v>
      </c>
      <c r="D8" s="24">
        <f>C8+2400+54180+852132+7936+27520</f>
        <v>944168</v>
      </c>
      <c r="E8" s="20">
        <v>88380</v>
      </c>
      <c r="F8" s="30">
        <v>1033</v>
      </c>
      <c r="G8" s="22">
        <v>1033</v>
      </c>
      <c r="H8" s="18">
        <v>0</v>
      </c>
      <c r="I8" s="18">
        <v>0</v>
      </c>
      <c r="J8" s="23">
        <v>1976</v>
      </c>
      <c r="K8" s="20">
        <v>0</v>
      </c>
      <c r="L8" s="20">
        <v>73136</v>
      </c>
      <c r="M8" s="20">
        <v>18560</v>
      </c>
      <c r="N8" s="24">
        <v>3546984</v>
      </c>
      <c r="O8" s="20">
        <v>3546984</v>
      </c>
      <c r="P8" s="25">
        <f t="shared" si="0"/>
        <v>100</v>
      </c>
      <c r="Q8" s="31" t="s">
        <v>586</v>
      </c>
    </row>
    <row r="9" spans="1:17" s="38" customFormat="1" ht="40.5" customHeight="1" thickBot="1">
      <c r="A9" s="32" t="s">
        <v>875</v>
      </c>
      <c r="B9" s="33"/>
      <c r="C9" s="34">
        <f aca="true" t="shared" si="1" ref="C9:O9">SUM(C2:C8)</f>
        <v>173609</v>
      </c>
      <c r="D9" s="35">
        <f t="shared" si="1"/>
        <v>11264777</v>
      </c>
      <c r="E9" s="35">
        <f t="shared" si="1"/>
        <v>5854735</v>
      </c>
      <c r="F9" s="34">
        <f t="shared" si="1"/>
        <v>192623</v>
      </c>
      <c r="G9" s="34">
        <f t="shared" si="1"/>
        <v>163670</v>
      </c>
      <c r="H9" s="34">
        <f t="shared" si="1"/>
        <v>182309</v>
      </c>
      <c r="I9" s="34">
        <f t="shared" si="1"/>
        <v>173609</v>
      </c>
      <c r="J9" s="34"/>
      <c r="K9" s="35">
        <f t="shared" si="1"/>
        <v>173609000</v>
      </c>
      <c r="L9" s="35">
        <f t="shared" si="1"/>
        <v>177382680</v>
      </c>
      <c r="M9" s="35">
        <f t="shared" si="1"/>
        <v>581332</v>
      </c>
      <c r="N9" s="35">
        <f t="shared" si="1"/>
        <v>195152874</v>
      </c>
      <c r="O9" s="35">
        <f t="shared" si="1"/>
        <v>195152874</v>
      </c>
      <c r="P9" s="36">
        <f t="shared" si="0"/>
        <v>100</v>
      </c>
      <c r="Q9" s="37"/>
    </row>
    <row r="10" spans="1:2" ht="59.25" customHeight="1">
      <c r="A10" s="4"/>
      <c r="B10" s="4"/>
    </row>
    <row r="11" ht="19.5" customHeight="1">
      <c r="D11" s="39" t="s">
        <v>585</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printOptions horizontalCentered="1"/>
  <pageMargins left="0.7874015748031497" right="0.7874015748031497" top="1.3779527559055118" bottom="0.984251968503937" header="0.7480314960629921" footer="0.5118110236220472"/>
  <pageSetup firstPageNumber="8" useFirstPageNumber="1" horizontalDpi="600" verticalDpi="600" orientation="landscape" paperSize="9" scale="90" r:id="rId1"/>
  <headerFooter alignWithMargins="0">
    <oddHeader>&amp;L      v Kč&amp;C&amp;"Arial,Tučné"&amp;11
Sumář rozpočtu příspěvkových organizací v roce 2010
provozní část - individuální příslib&amp;R&amp;"Arial,Tučné"příloha č. 4</oddHeader>
    <oddFooter>&amp;C&amp;P</oddFooter>
  </headerFooter>
</worksheet>
</file>

<file path=xl/worksheets/sheet6.xml><?xml version="1.0" encoding="utf-8"?>
<worksheet xmlns="http://schemas.openxmlformats.org/spreadsheetml/2006/main" xmlns:r="http://schemas.openxmlformats.org/officeDocument/2006/relationships">
  <dimension ref="A1:L40"/>
  <sheetViews>
    <sheetView workbookViewId="0" topLeftCell="A1">
      <selection activeCell="K9" sqref="K9"/>
    </sheetView>
  </sheetViews>
  <sheetFormatPr defaultColWidth="9.140625" defaultRowHeight="12.75"/>
  <cols>
    <col min="1" max="1" width="14.57421875" style="1215" customWidth="1"/>
    <col min="2" max="2" width="29.140625" style="1215" customWidth="1"/>
    <col min="3" max="3" width="15.57421875" style="1215" customWidth="1"/>
    <col min="4" max="5" width="16.140625" style="1215" customWidth="1"/>
    <col min="6" max="6" width="4.8515625" style="1215" customWidth="1"/>
    <col min="7" max="7" width="15.00390625" style="1215" customWidth="1"/>
    <col min="8" max="8" width="9.140625" style="1215" customWidth="1"/>
    <col min="9" max="9" width="15.140625" style="1215" customWidth="1"/>
    <col min="10" max="10" width="16.00390625" style="1215" customWidth="1"/>
    <col min="11" max="11" width="22.421875" style="1215" customWidth="1"/>
    <col min="12" max="12" width="14.00390625" style="1215" customWidth="1"/>
    <col min="13" max="16384" width="9.140625" style="1215" customWidth="1"/>
  </cols>
  <sheetData>
    <row r="1" spans="1:12" ht="18.75" customHeight="1" thickBot="1">
      <c r="A1" s="1342" t="s">
        <v>234</v>
      </c>
      <c r="B1" s="1342"/>
      <c r="C1" s="1342"/>
      <c r="D1" s="1342"/>
      <c r="E1" s="1342"/>
      <c r="F1" s="1213"/>
      <c r="G1" s="1214"/>
      <c r="L1" s="1216"/>
    </row>
    <row r="2" spans="1:12" ht="19.5" customHeight="1" thickBot="1">
      <c r="A2" s="1217"/>
      <c r="B2" s="1218"/>
      <c r="C2" s="1219" t="s">
        <v>202</v>
      </c>
      <c r="D2" s="1219" t="s">
        <v>203</v>
      </c>
      <c r="E2" s="1220" t="s">
        <v>204</v>
      </c>
      <c r="F2" s="1221"/>
      <c r="G2" s="1222"/>
      <c r="L2" s="1222"/>
    </row>
    <row r="3" spans="1:12" ht="19.5" customHeight="1" thickTop="1">
      <c r="A3" s="1223" t="s">
        <v>205</v>
      </c>
      <c r="B3" s="1224"/>
      <c r="C3" s="1225">
        <v>280000000</v>
      </c>
      <c r="D3" s="1225">
        <v>280000000</v>
      </c>
      <c r="E3" s="1226">
        <v>280000000</v>
      </c>
      <c r="F3" s="1227"/>
      <c r="G3" s="1228"/>
      <c r="I3" s="1229"/>
      <c r="J3" s="1229"/>
      <c r="K3" s="1229"/>
      <c r="L3" s="1228"/>
    </row>
    <row r="4" spans="1:12" ht="19.5" customHeight="1">
      <c r="A4" s="1230" t="s">
        <v>206</v>
      </c>
      <c r="B4" s="1231"/>
      <c r="C4" s="1231">
        <v>0</v>
      </c>
      <c r="D4" s="1231">
        <v>0</v>
      </c>
      <c r="E4" s="1232">
        <v>-304.12</v>
      </c>
      <c r="F4" s="1233"/>
      <c r="G4" s="1228"/>
      <c r="K4" s="1229"/>
      <c r="L4" s="1234"/>
    </row>
    <row r="5" spans="1:12" ht="19.5" customHeight="1" thickBot="1">
      <c r="A5" s="1235" t="s">
        <v>207</v>
      </c>
      <c r="B5" s="1236"/>
      <c r="C5" s="1237">
        <v>0</v>
      </c>
      <c r="D5" s="1238">
        <v>42843869.47</v>
      </c>
      <c r="E5" s="1239">
        <f>-26075767.04-84042</f>
        <v>-26159809.04</v>
      </c>
      <c r="F5" s="1227"/>
      <c r="G5" s="1234"/>
      <c r="I5" s="1229"/>
      <c r="J5" s="1229"/>
      <c r="K5" s="1229"/>
      <c r="L5" s="1234"/>
    </row>
    <row r="6" spans="1:12" ht="30" customHeight="1" thickBot="1" thickTop="1">
      <c r="A6" s="1240" t="s">
        <v>208</v>
      </c>
      <c r="B6" s="1241"/>
      <c r="C6" s="1242">
        <f>C3+C4+C5</f>
        <v>280000000</v>
      </c>
      <c r="D6" s="1243">
        <f>D3+D4+D5</f>
        <v>322843869.47</v>
      </c>
      <c r="E6" s="1244">
        <f>E3+E4+E5</f>
        <v>253839886.84</v>
      </c>
      <c r="F6" s="1245"/>
      <c r="G6" s="1245"/>
      <c r="H6" s="1246"/>
      <c r="I6" s="1247"/>
      <c r="J6" s="1247"/>
      <c r="K6" s="1247"/>
      <c r="L6" s="1245"/>
    </row>
    <row r="7" spans="1:7" ht="19.5" customHeight="1" thickBot="1">
      <c r="A7" s="1248"/>
      <c r="B7" s="1248"/>
      <c r="C7" s="1248"/>
      <c r="D7" s="1248"/>
      <c r="E7" s="1248"/>
      <c r="F7" s="1233"/>
      <c r="G7" s="1214"/>
    </row>
    <row r="8" spans="1:7" ht="19.5" customHeight="1">
      <c r="A8" s="1249" t="s">
        <v>209</v>
      </c>
      <c r="B8" s="1250"/>
      <c r="C8" s="1251" t="s">
        <v>210</v>
      </c>
      <c r="D8" s="1252" t="s">
        <v>211</v>
      </c>
      <c r="E8" s="1253" t="s">
        <v>212</v>
      </c>
      <c r="F8" s="1254"/>
      <c r="G8" s="1214"/>
    </row>
    <row r="9" spans="1:11" ht="19.5" customHeight="1">
      <c r="A9" s="1255" t="s">
        <v>213</v>
      </c>
      <c r="B9" s="1256"/>
      <c r="C9" s="1257">
        <v>5871150.07</v>
      </c>
      <c r="D9" s="1257">
        <f>59138798.16+1690565.16</f>
        <v>60829363.31999999</v>
      </c>
      <c r="E9" s="1258">
        <f>C9-D9</f>
        <v>-54958213.24999999</v>
      </c>
      <c r="F9" s="1259"/>
      <c r="G9" s="1214"/>
      <c r="I9" s="1229"/>
      <c r="J9" s="1229"/>
      <c r="K9" s="1229"/>
    </row>
    <row r="10" spans="1:11" ht="19.5" customHeight="1" thickBot="1">
      <c r="A10" s="1260" t="s">
        <v>214</v>
      </c>
      <c r="B10" s="1261"/>
      <c r="C10" s="1262">
        <v>38993850.76</v>
      </c>
      <c r="D10" s="1262">
        <f>8841215.43+220044.39+721169.47+328975.26</f>
        <v>10111404.55</v>
      </c>
      <c r="E10" s="1263">
        <f>C10-D10</f>
        <v>28882446.209999997</v>
      </c>
      <c r="F10" s="1259"/>
      <c r="G10" s="1214"/>
      <c r="I10" s="1229"/>
      <c r="J10" s="1229"/>
      <c r="K10" s="1229"/>
    </row>
    <row r="11" spans="1:11" ht="19.5" customHeight="1" thickBot="1">
      <c r="A11" s="1264" t="s">
        <v>215</v>
      </c>
      <c r="B11" s="1265"/>
      <c r="C11" s="1266">
        <f>C9+C10</f>
        <v>44865000.83</v>
      </c>
      <c r="D11" s="1266">
        <f>D9+D10</f>
        <v>70940767.86999999</v>
      </c>
      <c r="E11" s="1267">
        <f>E9+E10</f>
        <v>-26075767.039999995</v>
      </c>
      <c r="F11" s="1254"/>
      <c r="G11" s="1228"/>
      <c r="I11" s="1229"/>
      <c r="J11" s="1229"/>
      <c r="K11" s="1229"/>
    </row>
    <row r="12" spans="1:7" ht="19.5" customHeight="1">
      <c r="A12" s="1268"/>
      <c r="B12" s="1268"/>
      <c r="C12" s="1268"/>
      <c r="D12" s="1268"/>
      <c r="E12" s="1269"/>
      <c r="F12" s="1270"/>
      <c r="G12" s="1214"/>
    </row>
    <row r="13" spans="1:7" ht="19.5" customHeight="1" thickBot="1">
      <c r="A13" s="1342" t="s">
        <v>235</v>
      </c>
      <c r="B13" s="1342"/>
      <c r="C13" s="1342"/>
      <c r="D13" s="1342"/>
      <c r="E13" s="1342"/>
      <c r="F13" s="1270"/>
      <c r="G13" s="1214"/>
    </row>
    <row r="14" spans="1:7" ht="19.5" customHeight="1" thickBot="1">
      <c r="A14" s="1217" t="s">
        <v>216</v>
      </c>
      <c r="B14" s="1218"/>
      <c r="C14" s="1219" t="s">
        <v>202</v>
      </c>
      <c r="D14" s="1219" t="s">
        <v>203</v>
      </c>
      <c r="E14" s="1271" t="s">
        <v>204</v>
      </c>
      <c r="F14" s="1228"/>
      <c r="G14" s="1214"/>
    </row>
    <row r="15" spans="1:11" ht="19.5" customHeight="1" thickTop="1">
      <c r="A15" s="1272" t="s">
        <v>217</v>
      </c>
      <c r="B15" s="1273"/>
      <c r="C15" s="1225">
        <v>-30000000</v>
      </c>
      <c r="D15" s="1225">
        <v>-30000000</v>
      </c>
      <c r="E15" s="1226">
        <v>-30000000</v>
      </c>
      <c r="F15" s="1228"/>
      <c r="G15" s="1228"/>
      <c r="I15" s="1229"/>
      <c r="J15" s="1229"/>
      <c r="K15" s="1229"/>
    </row>
    <row r="16" spans="1:11" ht="19.5" customHeight="1">
      <c r="A16" s="1274" t="s">
        <v>218</v>
      </c>
      <c r="B16" s="1275"/>
      <c r="C16" s="1231">
        <v>-20000000</v>
      </c>
      <c r="D16" s="1225">
        <v>-20000000</v>
      </c>
      <c r="E16" s="1226">
        <v>-20000000</v>
      </c>
      <c r="F16" s="1228"/>
      <c r="G16" s="1214"/>
      <c r="I16" s="1229"/>
      <c r="J16" s="1229"/>
      <c r="K16" s="1229"/>
    </row>
    <row r="17" spans="1:11" ht="19.5" customHeight="1">
      <c r="A17" s="1276" t="s">
        <v>219</v>
      </c>
      <c r="B17" s="1277"/>
      <c r="C17" s="1225">
        <v>-873000</v>
      </c>
      <c r="D17" s="1225">
        <v>-873000</v>
      </c>
      <c r="E17" s="1226">
        <f>-873000-687609</f>
        <v>-1560609</v>
      </c>
      <c r="F17" s="1228"/>
      <c r="G17" s="1214"/>
      <c r="I17" s="1229"/>
      <c r="J17" s="1229"/>
      <c r="K17" s="1229"/>
    </row>
    <row r="18" spans="1:11" ht="19.5" customHeight="1">
      <c r="A18" s="1276" t="s">
        <v>220</v>
      </c>
      <c r="B18" s="1277"/>
      <c r="C18" s="1225">
        <v>-11765000</v>
      </c>
      <c r="D18" s="1225">
        <v>-11765000</v>
      </c>
      <c r="E18" s="1226">
        <v>-11765000</v>
      </c>
      <c r="F18" s="1228"/>
      <c r="G18" s="1228"/>
      <c r="I18" s="1229"/>
      <c r="J18" s="1229"/>
      <c r="K18" s="1229"/>
    </row>
    <row r="19" spans="1:11" ht="19.5" customHeight="1">
      <c r="A19" s="1278" t="s">
        <v>221</v>
      </c>
      <c r="B19" s="1279"/>
      <c r="C19" s="1280">
        <v>-25000000</v>
      </c>
      <c r="D19" s="1280">
        <v>-25000000</v>
      </c>
      <c r="E19" s="1232">
        <v>-25000000</v>
      </c>
      <c r="F19" s="1228"/>
      <c r="G19" s="1214"/>
      <c r="I19" s="1229"/>
      <c r="J19" s="1229"/>
      <c r="K19" s="1229"/>
    </row>
    <row r="20" spans="1:11" ht="19.5" customHeight="1">
      <c r="A20" s="1281" t="s">
        <v>222</v>
      </c>
      <c r="B20" s="1282"/>
      <c r="C20" s="1283">
        <v>-2436000</v>
      </c>
      <c r="D20" s="1283">
        <v>-2436000</v>
      </c>
      <c r="E20" s="1284">
        <v>-2436000</v>
      </c>
      <c r="F20" s="1228"/>
      <c r="G20" s="1214"/>
      <c r="I20" s="1229"/>
      <c r="J20" s="1229"/>
      <c r="K20" s="1229"/>
    </row>
    <row r="21" spans="1:11" ht="19.5" customHeight="1" thickBot="1">
      <c r="A21" s="1344" t="s">
        <v>217</v>
      </c>
      <c r="B21" s="1345"/>
      <c r="C21" s="1285">
        <v>-35000000</v>
      </c>
      <c r="D21" s="1285">
        <v>-35000000</v>
      </c>
      <c r="E21" s="1286">
        <v>-35000000</v>
      </c>
      <c r="F21" s="1228"/>
      <c r="G21" s="1214"/>
      <c r="I21" s="1229"/>
      <c r="J21" s="1229"/>
      <c r="K21" s="1229"/>
    </row>
    <row r="22" spans="1:11" ht="30" customHeight="1" thickBot="1" thickTop="1">
      <c r="A22" s="1287" t="s">
        <v>223</v>
      </c>
      <c r="B22" s="1288"/>
      <c r="C22" s="1289">
        <f>SUM(C15:C21)</f>
        <v>-125074000</v>
      </c>
      <c r="D22" s="1243">
        <f>SUM(D15:D21)</f>
        <v>-125074000</v>
      </c>
      <c r="E22" s="1244">
        <f>SUM(E15:E21)</f>
        <v>-125761609</v>
      </c>
      <c r="F22" s="1290"/>
      <c r="G22" s="1291"/>
      <c r="I22" s="1229"/>
      <c r="J22" s="1229"/>
      <c r="K22" s="1229"/>
    </row>
    <row r="23" spans="1:11" ht="30" customHeight="1" thickBot="1">
      <c r="A23" s="1292"/>
      <c r="B23" s="1292"/>
      <c r="C23" s="1292"/>
      <c r="D23" s="1293"/>
      <c r="E23" s="1294"/>
      <c r="F23" s="1295"/>
      <c r="G23" s="1296"/>
      <c r="I23" s="1229"/>
      <c r="J23" s="1229"/>
      <c r="K23" s="1229"/>
    </row>
    <row r="24" spans="1:11" ht="30" customHeight="1" thickBot="1">
      <c r="A24" s="1297" t="s">
        <v>224</v>
      </c>
      <c r="B24" s="1298" t="s">
        <v>225</v>
      </c>
      <c r="C24" s="1299">
        <f>SUM(C6+C22)</f>
        <v>154926000</v>
      </c>
      <c r="D24" s="1300">
        <f>SUM(D6+D22)</f>
        <v>197769869.47000003</v>
      </c>
      <c r="E24" s="1301">
        <f>SUM(E6+E22)</f>
        <v>128078277.84</v>
      </c>
      <c r="F24" s="1302"/>
      <c r="G24" s="1291"/>
      <c r="I24" s="1229"/>
      <c r="J24" s="1229"/>
      <c r="K24" s="1229"/>
    </row>
    <row r="25" spans="1:7" ht="14.25" customHeight="1">
      <c r="A25" s="1303"/>
      <c r="B25" s="1303"/>
      <c r="C25" s="1245"/>
      <c r="D25" s="1245"/>
      <c r="E25" s="1245"/>
      <c r="F25" s="1302"/>
      <c r="G25" s="1291"/>
    </row>
    <row r="26" spans="1:11" ht="12.75" customHeight="1">
      <c r="A26" s="1343" t="s">
        <v>236</v>
      </c>
      <c r="B26" s="1343"/>
      <c r="C26" s="1343"/>
      <c r="D26" s="1343"/>
      <c r="E26" s="1343"/>
      <c r="F26" s="1228"/>
      <c r="G26" s="1214"/>
      <c r="I26" s="1229"/>
      <c r="J26" s="1229"/>
      <c r="K26" s="1229"/>
    </row>
    <row r="27" spans="1:7" ht="12.75">
      <c r="A27" s="1304"/>
      <c r="B27" s="1304"/>
      <c r="C27" s="1304"/>
      <c r="D27" s="1304"/>
      <c r="E27" s="1304"/>
      <c r="F27" s="1228"/>
      <c r="G27" s="1214"/>
    </row>
    <row r="28" spans="1:7" ht="12.75">
      <c r="A28" s="1305" t="s">
        <v>226</v>
      </c>
      <c r="B28" s="1214"/>
      <c r="C28" s="1306"/>
      <c r="D28" s="1306"/>
      <c r="E28" s="1307">
        <v>150000000</v>
      </c>
      <c r="F28" s="1228"/>
      <c r="G28" s="1308"/>
    </row>
    <row r="29" spans="1:7" ht="12.75">
      <c r="A29" s="1305" t="s">
        <v>227</v>
      </c>
      <c r="B29" s="1214"/>
      <c r="C29" s="1214"/>
      <c r="D29" s="1214"/>
      <c r="E29" s="1307">
        <v>117645000</v>
      </c>
      <c r="F29" s="1228"/>
      <c r="G29" s="1308"/>
    </row>
    <row r="30" spans="1:7" ht="12.75">
      <c r="A30" s="1305" t="s">
        <v>228</v>
      </c>
      <c r="B30" s="1214"/>
      <c r="C30" s="1214"/>
      <c r="D30" s="1214"/>
      <c r="E30" s="1307">
        <v>0</v>
      </c>
      <c r="F30" s="1228"/>
      <c r="G30" s="1308"/>
    </row>
    <row r="31" spans="1:7" ht="12.75">
      <c r="A31" s="1305" t="s">
        <v>229</v>
      </c>
      <c r="B31" s="1214"/>
      <c r="C31" s="1214"/>
      <c r="D31" s="1214"/>
      <c r="E31" s="1307">
        <v>5575243</v>
      </c>
      <c r="F31" s="1228"/>
      <c r="G31" s="1308"/>
    </row>
    <row r="32" spans="1:7" ht="13.5">
      <c r="A32" s="1305" t="s">
        <v>230</v>
      </c>
      <c r="B32" s="1309"/>
      <c r="C32" s="1310"/>
      <c r="D32" s="1310"/>
      <c r="E32" s="1307">
        <v>750000000</v>
      </c>
      <c r="F32" s="1311"/>
      <c r="G32" s="1312"/>
    </row>
    <row r="33" spans="1:7" ht="12.75">
      <c r="A33" s="1305" t="s">
        <v>231</v>
      </c>
      <c r="B33" s="1313"/>
      <c r="C33" s="1313"/>
      <c r="D33" s="1313"/>
      <c r="E33" s="1307">
        <v>30000000</v>
      </c>
      <c r="F33" s="1313"/>
      <c r="G33" s="1314"/>
    </row>
    <row r="34" spans="1:6" ht="12.75">
      <c r="A34" s="1305" t="s">
        <v>232</v>
      </c>
      <c r="B34" s="1313"/>
      <c r="C34" s="1313"/>
      <c r="D34" s="1313"/>
      <c r="E34" s="1307">
        <v>210000000</v>
      </c>
      <c r="F34" s="1313"/>
    </row>
    <row r="35" spans="1:6" ht="12.75">
      <c r="A35" s="1315" t="s">
        <v>233</v>
      </c>
      <c r="B35" s="1313"/>
      <c r="C35" s="1313"/>
      <c r="D35" s="1313"/>
      <c r="E35" s="1307">
        <v>160000000</v>
      </c>
      <c r="F35" s="1313"/>
    </row>
    <row r="36" spans="1:6" ht="12.75">
      <c r="A36" s="1313"/>
      <c r="B36" s="1313"/>
      <c r="C36" s="1313"/>
      <c r="D36" s="1313"/>
      <c r="E36" s="1307"/>
      <c r="F36" s="1313"/>
    </row>
    <row r="37" spans="1:6" ht="12.75">
      <c r="A37" s="1313"/>
      <c r="B37" s="1313"/>
      <c r="C37" s="1313"/>
      <c r="D37" s="1313"/>
      <c r="E37" s="1307"/>
      <c r="F37" s="1313"/>
    </row>
    <row r="38" spans="1:6" ht="12.75">
      <c r="A38" s="1313"/>
      <c r="B38" s="1313"/>
      <c r="C38" s="1313"/>
      <c r="D38" s="1313"/>
      <c r="E38" s="1313"/>
      <c r="F38" s="1313"/>
    </row>
    <row r="39" spans="1:6" ht="12.75">
      <c r="A39" s="1313"/>
      <c r="B39" s="1313"/>
      <c r="C39" s="1313"/>
      <c r="D39" s="1313"/>
      <c r="E39" s="1313"/>
      <c r="F39" s="1313"/>
    </row>
    <row r="40" spans="1:6" ht="12.75">
      <c r="A40" s="1313"/>
      <c r="B40" s="1313"/>
      <c r="C40" s="1313"/>
      <c r="D40" s="1313"/>
      <c r="E40" s="1313"/>
      <c r="F40" s="1313"/>
    </row>
  </sheetData>
  <mergeCells count="4">
    <mergeCell ref="A1:E1"/>
    <mergeCell ref="A13:E13"/>
    <mergeCell ref="A26:E26"/>
    <mergeCell ref="A21:B21"/>
  </mergeCells>
  <printOptions/>
  <pageMargins left="0.7874015748031497" right="0.1968503937007874" top="1.7716535433070868" bottom="0.984251968503937" header="0.9055118110236221" footer="0.5118110236220472"/>
  <pageSetup horizontalDpi="600" verticalDpi="600" orientation="portrait" paperSize="9" scale="97" r:id="rId1"/>
  <headerFooter alignWithMargins="0">
    <oddHeader>&amp;C&amp;"Arial CE,Tučné"&amp;12Tř. 8 - FINANCOVÁNÍ v roce 2010
( v Kč )</oddHeader>
    <oddFooter>&amp;LIng. Jana Dokoupilová
vedoucí odd. finanční strategie
&amp;D&amp;C9</oddFooter>
  </headerFooter>
</worksheet>
</file>

<file path=xl/worksheets/sheet7.xml><?xml version="1.0" encoding="utf-8"?>
<worksheet xmlns="http://schemas.openxmlformats.org/spreadsheetml/2006/main" xmlns:r="http://schemas.openxmlformats.org/officeDocument/2006/relationships">
  <dimension ref="A1:J60"/>
  <sheetViews>
    <sheetView workbookViewId="0" topLeftCell="A1">
      <selection activeCell="B36" sqref="B36"/>
    </sheetView>
  </sheetViews>
  <sheetFormatPr defaultColWidth="9.140625" defaultRowHeight="12.75" outlineLevelCol="1"/>
  <cols>
    <col min="1" max="1" width="22.28125" style="319" customWidth="1"/>
    <col min="2" max="2" width="30.57421875" style="319" customWidth="1"/>
    <col min="3" max="3" width="10.7109375" style="321" customWidth="1"/>
    <col min="4" max="4" width="11.28125" style="321" hidden="1" customWidth="1" outlineLevel="1"/>
    <col min="5" max="5" width="9.57421875" style="321" hidden="1" customWidth="1" outlineLevel="1"/>
    <col min="6" max="6" width="11.421875" style="321" customWidth="1" collapsed="1"/>
    <col min="7" max="7" width="13.140625" style="321" customWidth="1"/>
    <col min="8" max="8" width="7.7109375" style="321" customWidth="1"/>
    <col min="9" max="9" width="48.7109375" style="319" customWidth="1"/>
    <col min="10" max="10" width="0.13671875" style="305" hidden="1" customWidth="1"/>
    <col min="11" max="16384" width="9.140625" style="305" customWidth="1"/>
  </cols>
  <sheetData>
    <row r="1" spans="1:10" s="3" customFormat="1" ht="54.75" customHeight="1" thickBot="1">
      <c r="A1" s="1" t="s">
        <v>421</v>
      </c>
      <c r="B1" s="1" t="s">
        <v>713</v>
      </c>
      <c r="C1" s="295" t="s">
        <v>178</v>
      </c>
      <c r="D1" s="322" t="s">
        <v>725</v>
      </c>
      <c r="E1" s="322" t="s">
        <v>274</v>
      </c>
      <c r="F1" s="322" t="s">
        <v>292</v>
      </c>
      <c r="G1" s="296" t="s">
        <v>293</v>
      </c>
      <c r="H1" s="295" t="s">
        <v>726</v>
      </c>
      <c r="I1" s="295" t="s">
        <v>863</v>
      </c>
      <c r="J1" s="323"/>
    </row>
    <row r="2" spans="1:10" s="3" customFormat="1" ht="12.75" customHeight="1">
      <c r="A2" s="324"/>
      <c r="B2" s="325"/>
      <c r="C2" s="326"/>
      <c r="D2" s="326"/>
      <c r="E2" s="326"/>
      <c r="F2" s="326"/>
      <c r="G2" s="326"/>
      <c r="H2" s="326"/>
      <c r="I2" s="326"/>
      <c r="J2" s="327"/>
    </row>
    <row r="3" spans="1:10" s="3" customFormat="1" ht="12.75" customHeight="1">
      <c r="A3" s="297" t="s">
        <v>714</v>
      </c>
      <c r="B3" s="298"/>
      <c r="C3" s="299"/>
      <c r="D3" s="300"/>
      <c r="E3" s="300"/>
      <c r="F3" s="301"/>
      <c r="G3" s="301"/>
      <c r="H3" s="301"/>
      <c r="I3" s="301"/>
      <c r="J3" s="327"/>
    </row>
    <row r="4" spans="1:10" s="3" customFormat="1" ht="12.75" customHeight="1">
      <c r="A4" s="297"/>
      <c r="B4" s="302" t="s">
        <v>721</v>
      </c>
      <c r="C4" s="303">
        <v>0</v>
      </c>
      <c r="D4" s="304">
        <v>6132842.11</v>
      </c>
      <c r="E4" s="328"/>
      <c r="F4" s="304">
        <f>D4+E4</f>
        <v>6132842.11</v>
      </c>
      <c r="G4" s="304">
        <v>6132842.11</v>
      </c>
      <c r="H4" s="304">
        <f>G4/F4*100</f>
        <v>100</v>
      </c>
      <c r="I4" s="304" t="s">
        <v>715</v>
      </c>
      <c r="J4" s="327"/>
    </row>
    <row r="5" spans="1:10" s="3" customFormat="1" ht="12.75" customHeight="1">
      <c r="A5" s="324"/>
      <c r="B5" s="325"/>
      <c r="C5" s="326"/>
      <c r="D5" s="326"/>
      <c r="E5" s="326"/>
      <c r="F5" s="326"/>
      <c r="G5" s="329"/>
      <c r="H5" s="326"/>
      <c r="I5" s="326"/>
      <c r="J5" s="327"/>
    </row>
    <row r="6" spans="1:10" s="3" customFormat="1" ht="12.75" customHeight="1">
      <c r="A6" s="324"/>
      <c r="B6" s="325"/>
      <c r="C6" s="326"/>
      <c r="D6" s="326"/>
      <c r="E6" s="326"/>
      <c r="F6" s="326"/>
      <c r="G6" s="329"/>
      <c r="H6" s="326"/>
      <c r="I6" s="326"/>
      <c r="J6" s="327"/>
    </row>
    <row r="7" spans="1:10" s="3" customFormat="1" ht="12.75" customHeight="1">
      <c r="A7" s="324" t="s">
        <v>716</v>
      </c>
      <c r="B7" s="325"/>
      <c r="C7" s="326"/>
      <c r="D7" s="326"/>
      <c r="E7" s="326"/>
      <c r="F7" s="326"/>
      <c r="G7" s="329"/>
      <c r="H7" s="326"/>
      <c r="I7" s="326"/>
      <c r="J7" s="327"/>
    </row>
    <row r="8" spans="1:10" s="3" customFormat="1" ht="12.75" customHeight="1">
      <c r="A8" s="324"/>
      <c r="B8" s="302" t="s">
        <v>722</v>
      </c>
      <c r="C8" s="303">
        <v>0</v>
      </c>
      <c r="D8" s="304">
        <v>0</v>
      </c>
      <c r="E8" s="326"/>
      <c r="F8" s="304">
        <f>D8+E8</f>
        <v>0</v>
      </c>
      <c r="G8" s="304">
        <v>27501.31</v>
      </c>
      <c r="H8" s="304">
        <v>0</v>
      </c>
      <c r="I8" s="326"/>
      <c r="J8" s="327"/>
    </row>
    <row r="9" spans="1:9" ht="12.75" customHeight="1">
      <c r="A9" s="330"/>
      <c r="B9" s="302" t="s">
        <v>723</v>
      </c>
      <c r="C9" s="304">
        <v>7000</v>
      </c>
      <c r="D9" s="304">
        <v>7000</v>
      </c>
      <c r="E9" s="304"/>
      <c r="F9" s="304">
        <f>D9+E9</f>
        <v>7000</v>
      </c>
      <c r="G9" s="304">
        <v>6979</v>
      </c>
      <c r="H9" s="304">
        <f>G9/F9*100</f>
        <v>99.7</v>
      </c>
      <c r="I9" s="331"/>
    </row>
    <row r="10" spans="1:9" ht="12.75" customHeight="1" thickBot="1">
      <c r="A10" s="307"/>
      <c r="B10" s="307"/>
      <c r="C10" s="306"/>
      <c r="D10" s="306"/>
      <c r="E10" s="306"/>
      <c r="F10" s="306"/>
      <c r="G10" s="306"/>
      <c r="H10" s="306"/>
      <c r="I10" s="332"/>
    </row>
    <row r="11" spans="1:10" ht="12.75" customHeight="1" thickBot="1">
      <c r="A11" s="308" t="s">
        <v>717</v>
      </c>
      <c r="B11" s="309"/>
      <c r="C11" s="317">
        <f>SUM(C3:C10)</f>
        <v>7000</v>
      </c>
      <c r="D11" s="317">
        <f>SUM(D3:D10)</f>
        <v>6139842.11</v>
      </c>
      <c r="E11" s="317">
        <f>SUM(E3:E10)</f>
        <v>0</v>
      </c>
      <c r="F11" s="317">
        <f>SUM(F3:F10)</f>
        <v>6139842.11</v>
      </c>
      <c r="G11" s="317">
        <f>SUM(G3:G10)</f>
        <v>6167322.42</v>
      </c>
      <c r="H11" s="317">
        <f>G11/F11*100</f>
        <v>100.4475735614641</v>
      </c>
      <c r="I11" s="310"/>
      <c r="J11" s="333"/>
    </row>
    <row r="12" spans="1:9" ht="12.75" customHeight="1">
      <c r="A12" s="334" t="s">
        <v>718</v>
      </c>
      <c r="B12" s="311"/>
      <c r="C12" s="312"/>
      <c r="D12" s="312"/>
      <c r="E12" s="312"/>
      <c r="F12" s="312"/>
      <c r="G12" s="312"/>
      <c r="H12" s="312"/>
      <c r="I12" s="335"/>
    </row>
    <row r="13" spans="1:9" ht="12.75" customHeight="1">
      <c r="A13" s="302" t="s">
        <v>910</v>
      </c>
      <c r="B13" s="313"/>
      <c r="C13" s="314"/>
      <c r="D13" s="314"/>
      <c r="E13" s="314"/>
      <c r="F13" s="314"/>
      <c r="G13" s="314"/>
      <c r="H13" s="314"/>
      <c r="I13" s="336"/>
    </row>
    <row r="14" spans="1:9" ht="12.75" customHeight="1">
      <c r="A14" s="337"/>
      <c r="B14" s="302" t="s">
        <v>94</v>
      </c>
      <c r="C14" s="304">
        <v>1000</v>
      </c>
      <c r="D14" s="304">
        <v>1000</v>
      </c>
      <c r="E14" s="304"/>
      <c r="F14" s="304">
        <f>D14+E14</f>
        <v>1000</v>
      </c>
      <c r="G14" s="304">
        <v>0</v>
      </c>
      <c r="H14" s="304">
        <f>G14/F14*100</f>
        <v>0</v>
      </c>
      <c r="I14" s="338"/>
    </row>
    <row r="15" spans="1:9" ht="12.75" customHeight="1">
      <c r="A15" s="337"/>
      <c r="B15" s="302"/>
      <c r="C15" s="304"/>
      <c r="D15" s="304"/>
      <c r="E15" s="304"/>
      <c r="F15" s="304"/>
      <c r="G15" s="304"/>
      <c r="H15" s="304"/>
      <c r="I15" s="338"/>
    </row>
    <row r="16" spans="1:9" ht="12.75" customHeight="1">
      <c r="A16" s="302" t="s">
        <v>911</v>
      </c>
      <c r="B16" s="302"/>
      <c r="C16" s="304"/>
      <c r="D16" s="304"/>
      <c r="E16" s="304"/>
      <c r="F16" s="304"/>
      <c r="G16" s="304"/>
      <c r="H16" s="304"/>
      <c r="I16" s="338"/>
    </row>
    <row r="17" spans="1:9" ht="12.75" customHeight="1">
      <c r="A17" s="337"/>
      <c r="B17" s="302" t="s">
        <v>912</v>
      </c>
      <c r="C17" s="304">
        <v>0</v>
      </c>
      <c r="D17" s="304">
        <v>0</v>
      </c>
      <c r="E17" s="304"/>
      <c r="F17" s="304">
        <f>D17+E17</f>
        <v>0</v>
      </c>
      <c r="G17" s="304">
        <v>0</v>
      </c>
      <c r="H17" s="304">
        <v>0</v>
      </c>
      <c r="I17" s="338"/>
    </row>
    <row r="18" spans="1:9" ht="12.75" customHeight="1">
      <c r="A18" s="337"/>
      <c r="B18" s="302"/>
      <c r="C18" s="304"/>
      <c r="D18" s="304"/>
      <c r="E18" s="304"/>
      <c r="F18" s="304"/>
      <c r="G18" s="304"/>
      <c r="H18" s="304"/>
      <c r="I18" s="338"/>
    </row>
    <row r="19" spans="1:9" ht="12.75" customHeight="1">
      <c r="A19" s="315" t="s">
        <v>724</v>
      </c>
      <c r="B19" s="302"/>
      <c r="C19" s="304"/>
      <c r="D19" s="304"/>
      <c r="E19" s="304"/>
      <c r="F19" s="304"/>
      <c r="G19" s="304"/>
      <c r="H19" s="304"/>
      <c r="I19" s="338"/>
    </row>
    <row r="20" spans="1:9" ht="12.75" customHeight="1">
      <c r="A20" s="316" t="s">
        <v>719</v>
      </c>
      <c r="B20" s="302"/>
      <c r="C20" s="304"/>
      <c r="D20" s="304"/>
      <c r="E20" s="304"/>
      <c r="F20" s="304"/>
      <c r="G20" s="304"/>
      <c r="H20" s="304"/>
      <c r="I20" s="338"/>
    </row>
    <row r="21" spans="1:9" ht="12.75" customHeight="1">
      <c r="A21" s="330"/>
      <c r="B21" s="302" t="s">
        <v>95</v>
      </c>
      <c r="C21" s="304">
        <v>1000</v>
      </c>
      <c r="D21" s="304">
        <v>1000</v>
      </c>
      <c r="E21" s="304"/>
      <c r="F21" s="304">
        <f>D21+E21</f>
        <v>1000</v>
      </c>
      <c r="G21" s="304">
        <v>314</v>
      </c>
      <c r="H21" s="304">
        <f>G21/F21*100</f>
        <v>31.4</v>
      </c>
      <c r="I21" s="339"/>
    </row>
    <row r="22" spans="1:10" ht="12.75" customHeight="1">
      <c r="A22" s="330"/>
      <c r="B22" s="302" t="s">
        <v>913</v>
      </c>
      <c r="C22" s="304">
        <v>5000</v>
      </c>
      <c r="D22" s="304">
        <v>0</v>
      </c>
      <c r="E22" s="328"/>
      <c r="F22" s="304">
        <f>D22+E22</f>
        <v>0</v>
      </c>
      <c r="G22" s="304">
        <v>0</v>
      </c>
      <c r="H22" s="304">
        <v>0</v>
      </c>
      <c r="I22" s="304" t="s">
        <v>727</v>
      </c>
      <c r="J22" s="340"/>
    </row>
    <row r="23" spans="1:9" ht="12.75" customHeight="1" thickBot="1">
      <c r="A23" s="307"/>
      <c r="B23" s="341"/>
      <c r="C23" s="306"/>
      <c r="D23" s="306"/>
      <c r="E23" s="306"/>
      <c r="F23" s="306"/>
      <c r="G23" s="306"/>
      <c r="H23" s="306"/>
      <c r="I23" s="342" t="s">
        <v>728</v>
      </c>
    </row>
    <row r="24" spans="1:10" ht="12.75" customHeight="1" thickBot="1">
      <c r="A24" s="308" t="s">
        <v>720</v>
      </c>
      <c r="B24" s="308"/>
      <c r="C24" s="317">
        <f>SUM(C12:C23)</f>
        <v>7000</v>
      </c>
      <c r="D24" s="317">
        <f>SUM(D12:D23)</f>
        <v>2000</v>
      </c>
      <c r="E24" s="317">
        <f>SUM(E12:E23)</f>
        <v>0</v>
      </c>
      <c r="F24" s="317">
        <f>SUM(F12:F23)</f>
        <v>2000</v>
      </c>
      <c r="G24" s="317">
        <f>SUM(G12:G23)</f>
        <v>314</v>
      </c>
      <c r="H24" s="317">
        <f>G24/F24*100</f>
        <v>15.7</v>
      </c>
      <c r="I24" s="343"/>
      <c r="J24" s="333"/>
    </row>
    <row r="25" spans="3:9" ht="12.75">
      <c r="C25" s="320"/>
      <c r="D25" s="320"/>
      <c r="E25" s="320"/>
      <c r="F25" s="320"/>
      <c r="G25" s="320"/>
      <c r="H25" s="320"/>
      <c r="I25" s="318"/>
    </row>
    <row r="26" spans="3:9" ht="12.75">
      <c r="C26" s="320"/>
      <c r="D26" s="320"/>
      <c r="E26" s="320"/>
      <c r="F26" s="320"/>
      <c r="G26" s="320"/>
      <c r="H26" s="320"/>
      <c r="I26" s="318"/>
    </row>
    <row r="27" spans="3:9" ht="12.75">
      <c r="C27" s="320"/>
      <c r="D27" s="320"/>
      <c r="E27" s="320"/>
      <c r="F27" s="320"/>
      <c r="G27" s="320"/>
      <c r="H27" s="320"/>
      <c r="I27" s="318"/>
    </row>
    <row r="28" spans="3:9" ht="12.75">
      <c r="C28" s="320"/>
      <c r="D28" s="320"/>
      <c r="E28" s="320"/>
      <c r="F28" s="320"/>
      <c r="G28" s="320"/>
      <c r="H28" s="320"/>
      <c r="I28" s="318"/>
    </row>
    <row r="29" spans="3:9" ht="12.75">
      <c r="C29" s="320"/>
      <c r="D29" s="320"/>
      <c r="E29" s="320"/>
      <c r="F29" s="320"/>
      <c r="G29" s="320"/>
      <c r="H29" s="320"/>
      <c r="I29" s="318"/>
    </row>
    <row r="30" spans="3:9" ht="12.75">
      <c r="C30" s="320"/>
      <c r="D30" s="320"/>
      <c r="E30" s="320"/>
      <c r="F30" s="320"/>
      <c r="G30" s="320"/>
      <c r="H30" s="320"/>
      <c r="I30" s="318"/>
    </row>
    <row r="31" spans="3:9" ht="12.75">
      <c r="C31" s="320"/>
      <c r="D31" s="320"/>
      <c r="E31" s="320"/>
      <c r="F31" s="320"/>
      <c r="G31" s="320"/>
      <c r="H31" s="320"/>
      <c r="I31" s="318"/>
    </row>
    <row r="32" spans="3:9" ht="12.75">
      <c r="C32" s="320"/>
      <c r="D32" s="320"/>
      <c r="E32" s="320"/>
      <c r="F32" s="320"/>
      <c r="G32" s="320"/>
      <c r="H32" s="320"/>
      <c r="I32" s="318"/>
    </row>
    <row r="33" ht="12.75">
      <c r="I33" s="318"/>
    </row>
    <row r="34" ht="12.75">
      <c r="I34" s="318"/>
    </row>
    <row r="35" ht="12.75">
      <c r="I35" s="318"/>
    </row>
    <row r="36" ht="12.75">
      <c r="I36" s="318"/>
    </row>
    <row r="37" ht="12.75">
      <c r="I37" s="318"/>
    </row>
    <row r="38" ht="12.75">
      <c r="I38" s="318"/>
    </row>
    <row r="39" ht="12.75">
      <c r="I39" s="318"/>
    </row>
    <row r="40" ht="12.75">
      <c r="I40" s="318"/>
    </row>
    <row r="41" ht="12.75">
      <c r="I41" s="318"/>
    </row>
    <row r="42" ht="12.75">
      <c r="I42" s="318"/>
    </row>
    <row r="43" ht="12.75">
      <c r="I43" s="318"/>
    </row>
    <row r="44" ht="12.75">
      <c r="I44" s="318"/>
    </row>
    <row r="45" ht="12.75">
      <c r="I45" s="318"/>
    </row>
    <row r="46" ht="12.75">
      <c r="I46" s="318"/>
    </row>
    <row r="47" ht="12.75">
      <c r="I47" s="318"/>
    </row>
    <row r="48" ht="12.75">
      <c r="I48" s="318"/>
    </row>
    <row r="49" ht="12.75">
      <c r="I49" s="318"/>
    </row>
    <row r="50" ht="12.75">
      <c r="I50" s="318"/>
    </row>
    <row r="51" ht="12.75">
      <c r="I51" s="318"/>
    </row>
    <row r="52" ht="12.75">
      <c r="I52" s="318"/>
    </row>
    <row r="53" ht="12.75">
      <c r="I53" s="318"/>
    </row>
    <row r="54" ht="12.75">
      <c r="I54" s="318"/>
    </row>
    <row r="55" ht="12.75">
      <c r="I55" s="318"/>
    </row>
    <row r="56" ht="12.75">
      <c r="I56" s="318"/>
    </row>
    <row r="57" ht="12.75">
      <c r="I57" s="318"/>
    </row>
    <row r="58" ht="12.75">
      <c r="I58" s="318"/>
    </row>
    <row r="59" ht="12.75">
      <c r="I59" s="318"/>
    </row>
    <row r="60" ht="12.75">
      <c r="I60" s="318"/>
    </row>
  </sheetData>
  <printOptions/>
  <pageMargins left="0.3937007874015748" right="0.1968503937007874" top="1.8503937007874016" bottom="0.984251968503937" header="1.1023622047244095" footer="0.5118110236220472"/>
  <pageSetup firstPageNumber="10" useFirstPageNumber="1" horizontalDpi="600" verticalDpi="600" orientation="landscape" paperSize="9" scale="97" r:id="rId1"/>
  <headerFooter alignWithMargins="0">
    <oddHeader>&amp;Lv Kč&amp;C&amp;"Arial,Tučné"&amp;11
Fond rozvoje bydlení - povodňový
(FRB od 31. 3. 2010 zrušen )&amp;R&amp;"Arial,Tučné"příloha č. 6</oddHeader>
    <oddFooter>&amp;C&amp;P</oddFooter>
  </headerFooter>
</worksheet>
</file>

<file path=xl/worksheets/sheet8.xml><?xml version="1.0" encoding="utf-8"?>
<worksheet xmlns="http://schemas.openxmlformats.org/spreadsheetml/2006/main" xmlns:r="http://schemas.openxmlformats.org/officeDocument/2006/relationships">
  <dimension ref="A1:K63"/>
  <sheetViews>
    <sheetView workbookViewId="0" topLeftCell="A1">
      <selection activeCell="G34" sqref="G34"/>
    </sheetView>
  </sheetViews>
  <sheetFormatPr defaultColWidth="9.140625" defaultRowHeight="12.75" outlineLevelCol="1"/>
  <cols>
    <col min="1" max="1" width="23.57421875" style="319" customWidth="1"/>
    <col min="2" max="2" width="34.57421875" style="319" customWidth="1"/>
    <col min="3" max="3" width="13.7109375" style="321" customWidth="1"/>
    <col min="4" max="4" width="13.421875" style="321" hidden="1" customWidth="1" outlineLevel="1"/>
    <col min="5" max="5" width="13.8515625" style="321" hidden="1" customWidth="1" outlineLevel="1"/>
    <col min="6" max="6" width="15.7109375" style="321" customWidth="1" collapsed="1"/>
    <col min="7" max="7" width="15.7109375" style="321" customWidth="1"/>
    <col min="8" max="8" width="7.8515625" style="321" customWidth="1"/>
    <col min="9" max="9" width="47.421875" style="319" customWidth="1"/>
    <col min="10" max="13" width="9.140625" style="305" customWidth="1"/>
    <col min="14" max="20" width="0" style="305" hidden="1" customWidth="1" outlineLevel="1"/>
    <col min="21" max="21" width="9.140625" style="305" customWidth="1" collapsed="1"/>
    <col min="22" max="16384" width="9.140625" style="305" customWidth="1"/>
  </cols>
  <sheetData>
    <row r="1" spans="1:11" s="3" customFormat="1" ht="55.5" customHeight="1" thickBot="1">
      <c r="A1" s="1" t="s">
        <v>421</v>
      </c>
      <c r="B1" s="1" t="s">
        <v>713</v>
      </c>
      <c r="C1" s="295" t="s">
        <v>423</v>
      </c>
      <c r="D1" s="7" t="s">
        <v>590</v>
      </c>
      <c r="E1" s="296" t="s">
        <v>274</v>
      </c>
      <c r="F1" s="7" t="s">
        <v>591</v>
      </c>
      <c r="G1" s="296" t="s">
        <v>174</v>
      </c>
      <c r="H1" s="295" t="s">
        <v>175</v>
      </c>
      <c r="I1" s="295" t="s">
        <v>863</v>
      </c>
      <c r="J1" s="491"/>
      <c r="K1" s="492"/>
    </row>
    <row r="2" spans="1:11" s="497" customFormat="1" ht="12.75" customHeight="1">
      <c r="A2" s="297"/>
      <c r="B2" s="298"/>
      <c r="C2" s="299"/>
      <c r="D2" s="300"/>
      <c r="E2" s="493"/>
      <c r="F2" s="301"/>
      <c r="G2" s="301"/>
      <c r="H2" s="301"/>
      <c r="I2" s="494"/>
      <c r="J2" s="495"/>
      <c r="K2" s="496"/>
    </row>
    <row r="3" spans="1:11" s="497" customFormat="1" ht="12.75" customHeight="1">
      <c r="A3" s="297" t="s">
        <v>714</v>
      </c>
      <c r="B3" s="298"/>
      <c r="C3" s="299"/>
      <c r="D3" s="300"/>
      <c r="E3" s="301"/>
      <c r="F3" s="301"/>
      <c r="G3" s="301"/>
      <c r="H3" s="301"/>
      <c r="I3" s="498"/>
      <c r="J3" s="495"/>
      <c r="K3" s="496"/>
    </row>
    <row r="4" spans="1:11" s="497" customFormat="1" ht="12.75" customHeight="1">
      <c r="A4" s="297"/>
      <c r="B4" s="302" t="s">
        <v>721</v>
      </c>
      <c r="C4" s="303">
        <v>0</v>
      </c>
      <c r="D4" s="304">
        <v>31527736.29</v>
      </c>
      <c r="E4" s="303"/>
      <c r="F4" s="304">
        <f>D4+E4</f>
        <v>31527736.29</v>
      </c>
      <c r="G4" s="304">
        <v>31527736.29</v>
      </c>
      <c r="H4" s="304">
        <f>G4/F4*100</f>
        <v>100</v>
      </c>
      <c r="I4" s="499" t="s">
        <v>715</v>
      </c>
      <c r="J4" s="495"/>
      <c r="K4" s="496"/>
    </row>
    <row r="5" spans="1:11" s="497" customFormat="1" ht="12.75" customHeight="1">
      <c r="A5" s="297"/>
      <c r="B5" s="302"/>
      <c r="C5" s="299"/>
      <c r="D5" s="300"/>
      <c r="E5" s="301"/>
      <c r="F5" s="304"/>
      <c r="G5" s="304"/>
      <c r="H5" s="301"/>
      <c r="I5" s="498"/>
      <c r="J5" s="495"/>
      <c r="K5" s="496"/>
    </row>
    <row r="6" spans="1:11" s="497" customFormat="1" ht="12.75" customHeight="1">
      <c r="A6" s="297"/>
      <c r="B6" s="298"/>
      <c r="C6" s="299"/>
      <c r="D6" s="300"/>
      <c r="E6" s="301"/>
      <c r="F6" s="301"/>
      <c r="G6" s="500"/>
      <c r="H6" s="301"/>
      <c r="I6" s="498"/>
      <c r="J6" s="495"/>
      <c r="K6" s="496"/>
    </row>
    <row r="7" spans="1:11" s="497" customFormat="1" ht="12.75" customHeight="1">
      <c r="A7" s="297" t="s">
        <v>716</v>
      </c>
      <c r="B7" s="298"/>
      <c r="C7" s="299"/>
      <c r="D7" s="300"/>
      <c r="E7" s="301"/>
      <c r="F7" s="301"/>
      <c r="G7" s="500"/>
      <c r="H7" s="301"/>
      <c r="I7" s="498"/>
      <c r="J7" s="495"/>
      <c r="K7" s="496"/>
    </row>
    <row r="8" spans="1:11" s="497" customFormat="1" ht="12.75" customHeight="1">
      <c r="A8" s="297"/>
      <c r="B8" s="302" t="s">
        <v>722</v>
      </c>
      <c r="C8" s="303">
        <v>0</v>
      </c>
      <c r="D8" s="304">
        <f>A8+C8</f>
        <v>0</v>
      </c>
      <c r="E8" s="301"/>
      <c r="F8" s="304">
        <f>D8+E8</f>
        <v>0</v>
      </c>
      <c r="G8" s="304">
        <v>3205299.71</v>
      </c>
      <c r="H8" s="304">
        <v>0</v>
      </c>
      <c r="I8" s="498"/>
      <c r="J8" s="495"/>
      <c r="K8" s="496"/>
    </row>
    <row r="9" spans="1:9" ht="12.75" customHeight="1">
      <c r="A9" s="501"/>
      <c r="B9" s="302" t="s">
        <v>723</v>
      </c>
      <c r="C9" s="304">
        <v>20438000</v>
      </c>
      <c r="D9" s="304">
        <v>20438000</v>
      </c>
      <c r="E9" s="304"/>
      <c r="F9" s="304">
        <f>D9+E9</f>
        <v>20438000</v>
      </c>
      <c r="G9" s="304">
        <v>19453802.53</v>
      </c>
      <c r="H9" s="304">
        <f>G9/F9*100</f>
        <v>95.18447269791565</v>
      </c>
      <c r="I9" s="502"/>
    </row>
    <row r="10" spans="1:9" ht="12.75" customHeight="1">
      <c r="A10" s="501"/>
      <c r="B10" s="302" t="s">
        <v>294</v>
      </c>
      <c r="C10" s="304">
        <v>0</v>
      </c>
      <c r="D10" s="304">
        <v>0</v>
      </c>
      <c r="E10" s="304"/>
      <c r="F10" s="304">
        <f>D10+E10</f>
        <v>0</v>
      </c>
      <c r="G10" s="304">
        <v>1300</v>
      </c>
      <c r="H10" s="304">
        <v>0</v>
      </c>
      <c r="I10" s="502"/>
    </row>
    <row r="11" spans="1:9" ht="12.75" customHeight="1" thickBot="1">
      <c r="A11" s="503"/>
      <c r="B11" s="504"/>
      <c r="C11" s="505"/>
      <c r="D11" s="505"/>
      <c r="E11" s="506"/>
      <c r="F11" s="507"/>
      <c r="G11" s="505"/>
      <c r="H11" s="507"/>
      <c r="I11" s="508"/>
    </row>
    <row r="12" spans="1:9" ht="12.75" customHeight="1" thickBot="1">
      <c r="A12" s="308" t="s">
        <v>717</v>
      </c>
      <c r="B12" s="309"/>
      <c r="C12" s="509">
        <f>SUM(C3:C10)</f>
        <v>20438000</v>
      </c>
      <c r="D12" s="509">
        <f>SUM(D3:D10)</f>
        <v>51965736.29</v>
      </c>
      <c r="E12" s="509">
        <f>SUM(E3:E10)</f>
        <v>0</v>
      </c>
      <c r="F12" s="509">
        <f>SUM(F3:F10)</f>
        <v>51965736.29</v>
      </c>
      <c r="G12" s="509">
        <f>SUM(G3:G10)</f>
        <v>54188138.53</v>
      </c>
      <c r="H12" s="509">
        <f>G12/F12*100</f>
        <v>104.2766684332108</v>
      </c>
      <c r="I12" s="310"/>
    </row>
    <row r="13" spans="1:9" ht="12.75" customHeight="1">
      <c r="A13" s="510" t="s">
        <v>718</v>
      </c>
      <c r="B13" s="311"/>
      <c r="C13" s="312"/>
      <c r="D13" s="312"/>
      <c r="E13" s="511"/>
      <c r="F13" s="312"/>
      <c r="G13" s="312"/>
      <c r="H13" s="512"/>
      <c r="I13" s="513"/>
    </row>
    <row r="14" spans="1:9" ht="12.75" customHeight="1">
      <c r="A14" s="514" t="s">
        <v>862</v>
      </c>
      <c r="B14" s="313"/>
      <c r="C14" s="314"/>
      <c r="D14" s="314"/>
      <c r="E14" s="314"/>
      <c r="F14" s="314"/>
      <c r="G14" s="314"/>
      <c r="H14" s="304"/>
      <c r="I14" s="515"/>
    </row>
    <row r="15" spans="1:9" ht="12.75" customHeight="1">
      <c r="A15" s="516"/>
      <c r="B15" s="302" t="s">
        <v>94</v>
      </c>
      <c r="C15" s="304">
        <v>1000</v>
      </c>
      <c r="D15" s="304">
        <v>1000</v>
      </c>
      <c r="E15" s="304"/>
      <c r="F15" s="304">
        <f>D15+E15</f>
        <v>1000</v>
      </c>
      <c r="G15" s="304">
        <v>140</v>
      </c>
      <c r="H15" s="304">
        <f>G15/F15*100</f>
        <v>14.000000000000002</v>
      </c>
      <c r="I15" s="517"/>
    </row>
    <row r="16" spans="1:9" ht="12.75" customHeight="1">
      <c r="A16" s="516"/>
      <c r="B16" s="302"/>
      <c r="C16" s="304"/>
      <c r="D16" s="304"/>
      <c r="E16" s="304"/>
      <c r="F16" s="304"/>
      <c r="G16" s="304"/>
      <c r="H16" s="304"/>
      <c r="I16" s="517"/>
    </row>
    <row r="17" spans="1:9" ht="12.75" customHeight="1">
      <c r="A17" s="315" t="s">
        <v>724</v>
      </c>
      <c r="B17" s="302"/>
      <c r="C17" s="304"/>
      <c r="D17" s="304"/>
      <c r="E17" s="304"/>
      <c r="F17" s="304"/>
      <c r="G17" s="304"/>
      <c r="H17" s="304"/>
      <c r="I17" s="517"/>
    </row>
    <row r="18" spans="1:9" ht="12.75" customHeight="1">
      <c r="A18" s="316" t="s">
        <v>719</v>
      </c>
      <c r="B18" s="302"/>
      <c r="C18" s="304"/>
      <c r="D18" s="304"/>
      <c r="E18" s="304"/>
      <c r="F18" s="304"/>
      <c r="G18" s="304"/>
      <c r="H18" s="304"/>
      <c r="I18" s="517"/>
    </row>
    <row r="19" spans="1:9" ht="12.75" customHeight="1">
      <c r="A19" s="501"/>
      <c r="B19" s="302" t="s">
        <v>95</v>
      </c>
      <c r="C19" s="304">
        <v>437000</v>
      </c>
      <c r="D19" s="304">
        <v>437000</v>
      </c>
      <c r="E19" s="304"/>
      <c r="F19" s="304">
        <f>D19+E19</f>
        <v>437000</v>
      </c>
      <c r="G19" s="304">
        <v>109835.74</v>
      </c>
      <c r="H19" s="304">
        <f>G19/F19*100</f>
        <v>25.134036613272315</v>
      </c>
      <c r="I19" s="518"/>
    </row>
    <row r="20" spans="1:9" ht="15.75" customHeight="1">
      <c r="A20" s="501"/>
      <c r="B20" s="302" t="s">
        <v>295</v>
      </c>
      <c r="C20" s="304">
        <v>10000000</v>
      </c>
      <c r="D20" s="304">
        <v>5557833.34</v>
      </c>
      <c r="E20" s="304"/>
      <c r="F20" s="304">
        <f>D20+E20</f>
        <v>5557833.34</v>
      </c>
      <c r="G20" s="304">
        <v>5140000</v>
      </c>
      <c r="H20" s="304">
        <f>G20/F20*100</f>
        <v>92.48208223530503</v>
      </c>
      <c r="I20" s="1346" t="s">
        <v>176</v>
      </c>
    </row>
    <row r="21" spans="1:9" ht="18" customHeight="1">
      <c r="A21" s="501"/>
      <c r="B21" s="302" t="s">
        <v>296</v>
      </c>
      <c r="C21" s="304">
        <v>10000000</v>
      </c>
      <c r="D21" s="304">
        <v>4272955.59</v>
      </c>
      <c r="E21" s="304"/>
      <c r="F21" s="304">
        <f>D21+E21</f>
        <v>4272955.59</v>
      </c>
      <c r="G21" s="304">
        <v>0</v>
      </c>
      <c r="H21" s="304">
        <f>G21/F21*100</f>
        <v>0</v>
      </c>
      <c r="I21" s="1347"/>
    </row>
    <row r="22" spans="1:9" ht="12.75" customHeight="1" thickBot="1">
      <c r="A22" s="519"/>
      <c r="B22" s="520"/>
      <c r="C22" s="306"/>
      <c r="D22" s="306"/>
      <c r="E22" s="521"/>
      <c r="F22" s="306"/>
      <c r="G22" s="306"/>
      <c r="H22" s="306"/>
      <c r="I22" s="522"/>
    </row>
    <row r="23" spans="1:9" ht="12.75" customHeight="1" thickBot="1">
      <c r="A23" s="308" t="s">
        <v>720</v>
      </c>
      <c r="B23" s="308"/>
      <c r="C23" s="317">
        <f>SUM(C13:C21)</f>
        <v>20438000</v>
      </c>
      <c r="D23" s="317">
        <f>SUM(D13:D21)</f>
        <v>10268788.93</v>
      </c>
      <c r="E23" s="509">
        <f>SUM(E13:E21)</f>
        <v>0</v>
      </c>
      <c r="F23" s="509">
        <f>SUM(F14:F21)</f>
        <v>10268788.93</v>
      </c>
      <c r="G23" s="509">
        <f>SUM(G13:G22)</f>
        <v>5249975.74</v>
      </c>
      <c r="H23" s="509">
        <f>G23/F23*100</f>
        <v>51.12555897085714</v>
      </c>
      <c r="I23" s="523"/>
    </row>
    <row r="24" spans="1:9" ht="12.75" customHeight="1">
      <c r="A24" s="524"/>
      <c r="B24" s="318"/>
      <c r="C24" s="5"/>
      <c r="D24" s="6"/>
      <c r="E24" s="5"/>
      <c r="F24" s="5"/>
      <c r="G24" s="5"/>
      <c r="H24" s="5"/>
      <c r="I24" s="525"/>
    </row>
    <row r="25" spans="1:9" ht="9.75" customHeight="1">
      <c r="A25" s="526"/>
      <c r="B25" s="527"/>
      <c r="C25" s="6"/>
      <c r="D25" s="6"/>
      <c r="E25" s="6"/>
      <c r="F25" s="6"/>
      <c r="G25" s="6"/>
      <c r="H25" s="6"/>
      <c r="I25" s="528"/>
    </row>
    <row r="26" spans="3:9" ht="12.75" customHeight="1">
      <c r="C26" s="320"/>
      <c r="D26" s="320"/>
      <c r="E26" s="320"/>
      <c r="F26" s="320"/>
      <c r="G26" s="320"/>
      <c r="H26" s="320"/>
      <c r="I26" s="318"/>
    </row>
    <row r="27" spans="3:9" ht="12.75">
      <c r="C27" s="320"/>
      <c r="D27" s="320"/>
      <c r="E27" s="320"/>
      <c r="F27" s="320"/>
      <c r="G27" s="320"/>
      <c r="H27" s="320"/>
      <c r="I27" s="318"/>
    </row>
    <row r="28" spans="3:9" ht="12.75">
      <c r="C28" s="320"/>
      <c r="D28" s="320"/>
      <c r="E28" s="320"/>
      <c r="F28" s="320"/>
      <c r="G28" s="320"/>
      <c r="H28" s="320"/>
      <c r="I28" s="318"/>
    </row>
    <row r="29" spans="3:9" ht="12.75">
      <c r="C29" s="320"/>
      <c r="D29" s="320"/>
      <c r="E29" s="320"/>
      <c r="F29" s="320"/>
      <c r="G29" s="320"/>
      <c r="H29" s="320"/>
      <c r="I29" s="318"/>
    </row>
    <row r="30" spans="3:9" ht="12.75">
      <c r="C30" s="320"/>
      <c r="D30" s="320"/>
      <c r="E30" s="320"/>
      <c r="F30" s="320"/>
      <c r="G30" s="320"/>
      <c r="H30" s="320"/>
      <c r="I30" s="318"/>
    </row>
    <row r="31" spans="3:9" ht="12.75">
      <c r="C31" s="320"/>
      <c r="D31" s="320"/>
      <c r="E31" s="320"/>
      <c r="F31" s="320"/>
      <c r="G31" s="320"/>
      <c r="H31" s="320"/>
      <c r="I31" s="318"/>
    </row>
    <row r="32" spans="3:9" ht="12.75">
      <c r="C32" s="320"/>
      <c r="D32" s="320"/>
      <c r="E32" s="320"/>
      <c r="F32" s="320"/>
      <c r="G32" s="320"/>
      <c r="H32" s="320"/>
      <c r="I32" s="318"/>
    </row>
    <row r="33" spans="3:9" ht="12.75">
      <c r="C33" s="320"/>
      <c r="D33" s="320"/>
      <c r="E33" s="320"/>
      <c r="F33" s="320"/>
      <c r="G33" s="320"/>
      <c r="H33" s="320"/>
      <c r="I33" s="318"/>
    </row>
    <row r="34" spans="3:9" ht="12.75">
      <c r="C34" s="320"/>
      <c r="D34" s="320"/>
      <c r="E34" s="320"/>
      <c r="F34" s="320"/>
      <c r="G34" s="320"/>
      <c r="H34" s="320"/>
      <c r="I34" s="318"/>
    </row>
    <row r="35" spans="3:9" ht="12.75">
      <c r="C35" s="320"/>
      <c r="D35" s="320"/>
      <c r="E35" s="320"/>
      <c r="F35" s="320"/>
      <c r="G35" s="320"/>
      <c r="H35" s="320"/>
      <c r="I35" s="318"/>
    </row>
    <row r="36" ht="12.75">
      <c r="I36" s="318"/>
    </row>
    <row r="37" ht="12.75">
      <c r="I37" s="318"/>
    </row>
    <row r="38" ht="12.75">
      <c r="I38" s="318"/>
    </row>
    <row r="39" ht="12.75">
      <c r="I39" s="318"/>
    </row>
    <row r="40" ht="12.75">
      <c r="I40" s="318"/>
    </row>
    <row r="41" ht="12.75">
      <c r="I41" s="318"/>
    </row>
    <row r="42" ht="12.75">
      <c r="I42" s="318"/>
    </row>
    <row r="43" ht="12.75">
      <c r="I43" s="318"/>
    </row>
    <row r="44" ht="12.75">
      <c r="I44" s="318"/>
    </row>
    <row r="45" ht="12.75">
      <c r="I45" s="318"/>
    </row>
    <row r="46" ht="12.75">
      <c r="I46" s="318"/>
    </row>
    <row r="47" ht="12.75">
      <c r="I47" s="318"/>
    </row>
    <row r="48" ht="12.75">
      <c r="I48" s="318"/>
    </row>
    <row r="49" ht="12.75">
      <c r="I49" s="318"/>
    </row>
    <row r="50" ht="12.75">
      <c r="I50" s="318"/>
    </row>
    <row r="51" ht="12.75">
      <c r="I51" s="318"/>
    </row>
    <row r="52" ht="12.75">
      <c r="I52" s="318"/>
    </row>
    <row r="53" ht="12.75">
      <c r="I53" s="318"/>
    </row>
    <row r="54" ht="12.75">
      <c r="I54" s="318"/>
    </row>
    <row r="55" ht="12.75">
      <c r="I55" s="318"/>
    </row>
    <row r="56" ht="12.75">
      <c r="I56" s="318"/>
    </row>
    <row r="57" ht="12.75">
      <c r="I57" s="318"/>
    </row>
    <row r="58" ht="12.75">
      <c r="I58" s="318"/>
    </row>
    <row r="59" ht="12.75">
      <c r="I59" s="318"/>
    </row>
    <row r="60" ht="12.75">
      <c r="I60" s="318"/>
    </row>
    <row r="61" ht="12.75">
      <c r="I61" s="318"/>
    </row>
    <row r="62" ht="12.75">
      <c r="I62" s="318"/>
    </row>
    <row r="63" ht="12.75">
      <c r="I63" s="318"/>
    </row>
  </sheetData>
  <mergeCells count="1">
    <mergeCell ref="I20:I21"/>
  </mergeCells>
  <printOptions/>
  <pageMargins left="0.3937007874015748" right="0.1968503937007874" top="1.968503937007874" bottom="0.984251968503937" header="0.9055118110236221" footer="0.5118110236220472"/>
  <pageSetup firstPageNumber="11" useFirstPageNumber="1" horizontalDpi="600" verticalDpi="600" orientation="landscape" paperSize="9" scale="90" r:id="rId1"/>
  <headerFooter alignWithMargins="0">
    <oddHeader xml:space="preserve">&amp;Lv Kč&amp;C&amp;"Arial,Tučné"&amp;11Fond rozvoje bydlení - klasický
 </oddHeader>
    <oddFooter>&amp;C&amp;P</oddFooter>
  </headerFooter>
</worksheet>
</file>

<file path=xl/worksheets/sheet9.xml><?xml version="1.0" encoding="utf-8"?>
<worksheet xmlns="http://schemas.openxmlformats.org/spreadsheetml/2006/main" xmlns:r="http://schemas.openxmlformats.org/officeDocument/2006/relationships">
  <dimension ref="A1:H69"/>
  <sheetViews>
    <sheetView zoomScaleSheetLayoutView="75" workbookViewId="0" topLeftCell="A1">
      <pane ySplit="1" topLeftCell="BM2" activePane="bottomLeft" state="frozen"/>
      <selection pane="topLeft" activeCell="A18" sqref="A18"/>
      <selection pane="bottomLeft" activeCell="D40" sqref="D40"/>
    </sheetView>
  </sheetViews>
  <sheetFormatPr defaultColWidth="9.140625" defaultRowHeight="12.75"/>
  <cols>
    <col min="1" max="1" width="33.28125" style="559" customWidth="1"/>
    <col min="2" max="2" width="31.140625" style="559" customWidth="1"/>
    <col min="3" max="3" width="16.421875" style="564" customWidth="1"/>
    <col min="4" max="4" width="14.7109375" style="564" customWidth="1"/>
    <col min="5" max="5" width="45.57421875" style="559" customWidth="1"/>
    <col min="6" max="16384" width="9.140625" style="562" customWidth="1"/>
  </cols>
  <sheetData>
    <row r="1" spans="1:5" s="533" customFormat="1" ht="48" customHeight="1" thickBot="1">
      <c r="A1" s="529" t="s">
        <v>421</v>
      </c>
      <c r="B1" s="530" t="s">
        <v>713</v>
      </c>
      <c r="C1" s="531" t="s">
        <v>423</v>
      </c>
      <c r="D1" s="530" t="s">
        <v>297</v>
      </c>
      <c r="E1" s="532" t="s">
        <v>180</v>
      </c>
    </row>
    <row r="2" spans="1:5" s="533" customFormat="1" ht="12.75" customHeight="1">
      <c r="A2" s="1329" t="s">
        <v>298</v>
      </c>
      <c r="B2" s="1330"/>
      <c r="C2" s="536"/>
      <c r="D2" s="537"/>
      <c r="E2" s="538"/>
    </row>
    <row r="3" spans="1:5" s="533" customFormat="1" ht="12.75" customHeight="1">
      <c r="A3" s="534"/>
      <c r="B3" s="535" t="s">
        <v>299</v>
      </c>
      <c r="C3" s="536"/>
      <c r="D3" s="537"/>
      <c r="E3" s="539"/>
    </row>
    <row r="4" spans="1:5" s="533" customFormat="1" ht="12.75" customHeight="1">
      <c r="A4" s="534"/>
      <c r="B4" s="540" t="s">
        <v>300</v>
      </c>
      <c r="C4" s="537">
        <v>0</v>
      </c>
      <c r="D4" s="537">
        <v>23341</v>
      </c>
      <c r="E4" s="539"/>
    </row>
    <row r="5" spans="1:5" s="533" customFormat="1" ht="12.75" customHeight="1">
      <c r="A5" s="540"/>
      <c r="B5" s="540" t="s">
        <v>301</v>
      </c>
      <c r="C5" s="537">
        <v>0</v>
      </c>
      <c r="D5" s="537">
        <v>3747.52</v>
      </c>
      <c r="E5" s="541" t="s">
        <v>302</v>
      </c>
    </row>
    <row r="6" spans="1:5" s="533" customFormat="1" ht="12.75" customHeight="1">
      <c r="A6" s="540"/>
      <c r="B6" s="540" t="s">
        <v>303</v>
      </c>
      <c r="C6" s="537">
        <v>0</v>
      </c>
      <c r="D6" s="537">
        <v>10000</v>
      </c>
      <c r="E6" s="541"/>
    </row>
    <row r="7" spans="1:8" s="533" customFormat="1" ht="12.75" customHeight="1">
      <c r="A7" s="540"/>
      <c r="B7" s="540" t="s">
        <v>304</v>
      </c>
      <c r="C7" s="537">
        <v>0</v>
      </c>
      <c r="D7" s="537">
        <f>7542989.2+198.96</f>
        <v>7543188.16</v>
      </c>
      <c r="E7" s="541" t="s">
        <v>305</v>
      </c>
      <c r="H7" s="533" t="s">
        <v>585</v>
      </c>
    </row>
    <row r="8" spans="1:5" s="533" customFormat="1" ht="12.75" customHeight="1">
      <c r="A8" s="542"/>
      <c r="B8" s="543" t="s">
        <v>306</v>
      </c>
      <c r="C8" s="537">
        <v>0</v>
      </c>
      <c r="D8" s="537">
        <v>125481</v>
      </c>
      <c r="E8" s="544"/>
    </row>
    <row r="9" spans="1:5" s="533" customFormat="1" ht="12.75" customHeight="1" hidden="1">
      <c r="A9" s="545"/>
      <c r="B9" s="540" t="s">
        <v>307</v>
      </c>
      <c r="C9" s="537">
        <v>0</v>
      </c>
      <c r="D9" s="537">
        <v>0</v>
      </c>
      <c r="E9" s="539"/>
    </row>
    <row r="10" spans="1:5" s="533" customFormat="1" ht="12.75" customHeight="1">
      <c r="A10" s="545"/>
      <c r="B10" s="540" t="s">
        <v>308</v>
      </c>
      <c r="C10" s="537">
        <v>0</v>
      </c>
      <c r="D10" s="537">
        <v>502328.33</v>
      </c>
      <c r="E10" s="539"/>
    </row>
    <row r="11" spans="1:5" s="533" customFormat="1" ht="12.75" customHeight="1">
      <c r="A11" s="545"/>
      <c r="B11" s="540" t="s">
        <v>309</v>
      </c>
      <c r="C11" s="537">
        <v>0</v>
      </c>
      <c r="D11" s="537">
        <f>1600800-312900</f>
        <v>1287900</v>
      </c>
      <c r="E11" s="539" t="s">
        <v>310</v>
      </c>
    </row>
    <row r="12" spans="1:5" s="533" customFormat="1" ht="12.75" customHeight="1">
      <c r="A12" s="545"/>
      <c r="B12" s="540" t="s">
        <v>311</v>
      </c>
      <c r="C12" s="537">
        <v>0</v>
      </c>
      <c r="D12" s="537">
        <v>286000</v>
      </c>
      <c r="E12" s="539"/>
    </row>
    <row r="13" spans="1:5" s="533" customFormat="1" ht="12.75" customHeight="1">
      <c r="A13" s="545"/>
      <c r="B13" s="540"/>
      <c r="C13" s="537"/>
      <c r="D13" s="546"/>
      <c r="E13" s="539"/>
    </row>
    <row r="14" spans="1:5" s="551" customFormat="1" ht="12.75" customHeight="1">
      <c r="A14" s="547"/>
      <c r="B14" s="548" t="s">
        <v>276</v>
      </c>
      <c r="C14" s="549">
        <v>0</v>
      </c>
      <c r="D14" s="549">
        <f>SUM(D4:D12)</f>
        <v>9781986.01</v>
      </c>
      <c r="E14" s="550"/>
    </row>
    <row r="15" spans="1:5" s="533" customFormat="1" ht="12.75" customHeight="1">
      <c r="A15" s="547"/>
      <c r="B15" s="540"/>
      <c r="C15" s="537"/>
      <c r="D15" s="546"/>
      <c r="E15" s="539"/>
    </row>
    <row r="16" spans="1:5" s="533" customFormat="1" ht="12.75" customHeight="1">
      <c r="A16" s="545"/>
      <c r="B16" s="540" t="s">
        <v>312</v>
      </c>
      <c r="C16" s="537"/>
      <c r="D16" s="546"/>
      <c r="E16" s="539"/>
    </row>
    <row r="17" spans="1:5" s="533" customFormat="1" ht="12.75" customHeight="1">
      <c r="A17" s="545"/>
      <c r="B17" s="540" t="s">
        <v>313</v>
      </c>
      <c r="C17" s="537">
        <v>0</v>
      </c>
      <c r="D17" s="537">
        <v>11890</v>
      </c>
      <c r="E17" s="539"/>
    </row>
    <row r="18" spans="1:5" s="533" customFormat="1" ht="12.75" customHeight="1">
      <c r="A18" s="545"/>
      <c r="B18" s="540" t="s">
        <v>314</v>
      </c>
      <c r="C18" s="537">
        <v>0</v>
      </c>
      <c r="D18" s="537">
        <v>15588</v>
      </c>
      <c r="E18" s="539"/>
    </row>
    <row r="19" spans="1:5" s="533" customFormat="1" ht="12.75" customHeight="1">
      <c r="A19" s="540"/>
      <c r="B19" s="540" t="s">
        <v>300</v>
      </c>
      <c r="C19" s="537">
        <v>0</v>
      </c>
      <c r="D19" s="537">
        <v>6541</v>
      </c>
      <c r="E19" s="552"/>
    </row>
    <row r="20" spans="1:5" s="533" customFormat="1" ht="12.75" customHeight="1">
      <c r="A20" s="540"/>
      <c r="B20" s="540" t="s">
        <v>301</v>
      </c>
      <c r="C20" s="537">
        <v>0</v>
      </c>
      <c r="D20" s="537">
        <v>1906</v>
      </c>
      <c r="E20" s="552"/>
    </row>
    <row r="21" spans="1:5" s="533" customFormat="1" ht="12.75" customHeight="1">
      <c r="A21" s="540"/>
      <c r="B21" s="540" t="s">
        <v>303</v>
      </c>
      <c r="C21" s="537">
        <v>0</v>
      </c>
      <c r="D21" s="537">
        <v>7600</v>
      </c>
      <c r="E21" s="552"/>
    </row>
    <row r="22" spans="1:5" s="533" customFormat="1" ht="12.75" customHeight="1">
      <c r="A22" s="540"/>
      <c r="B22" s="540" t="s">
        <v>304</v>
      </c>
      <c r="C22" s="537">
        <v>0</v>
      </c>
      <c r="D22" s="537">
        <v>1176019</v>
      </c>
      <c r="E22" s="553" t="s">
        <v>315</v>
      </c>
    </row>
    <row r="23" spans="1:5" s="533" customFormat="1" ht="12.75" customHeight="1">
      <c r="A23" s="540"/>
      <c r="B23" s="540" t="s">
        <v>316</v>
      </c>
      <c r="C23" s="537">
        <v>0</v>
      </c>
      <c r="D23" s="537">
        <v>14280</v>
      </c>
      <c r="E23" s="553"/>
    </row>
    <row r="24" spans="1:5" s="533" customFormat="1" ht="12.75" customHeight="1">
      <c r="A24" s="540"/>
      <c r="B24" s="540" t="s">
        <v>306</v>
      </c>
      <c r="C24" s="537">
        <v>0</v>
      </c>
      <c r="D24" s="537">
        <v>63859</v>
      </c>
      <c r="E24" s="554"/>
    </row>
    <row r="25" spans="1:5" s="533" customFormat="1" ht="12.75" customHeight="1">
      <c r="A25" s="540"/>
      <c r="B25" s="540" t="s">
        <v>308</v>
      </c>
      <c r="C25" s="537">
        <v>0</v>
      </c>
      <c r="D25" s="537">
        <v>7000</v>
      </c>
      <c r="E25" s="554"/>
    </row>
    <row r="26" spans="1:5" s="533" customFormat="1" ht="12.75" customHeight="1">
      <c r="A26" s="540"/>
      <c r="B26" s="540" t="s">
        <v>309</v>
      </c>
      <c r="C26" s="537">
        <v>0</v>
      </c>
      <c r="D26" s="537">
        <f>440900-81900</f>
        <v>359000</v>
      </c>
      <c r="E26" s="554" t="s">
        <v>310</v>
      </c>
    </row>
    <row r="27" spans="1:5" s="533" customFormat="1" ht="12.75" customHeight="1">
      <c r="A27" s="540"/>
      <c r="B27" s="540" t="s">
        <v>311</v>
      </c>
      <c r="C27" s="537">
        <v>0</v>
      </c>
      <c r="D27" s="537">
        <v>105000</v>
      </c>
      <c r="E27" s="554"/>
    </row>
    <row r="28" spans="1:5" s="533" customFormat="1" ht="12.75" customHeight="1">
      <c r="A28" s="540"/>
      <c r="B28" s="540"/>
      <c r="C28" s="537"/>
      <c r="D28" s="546"/>
      <c r="E28" s="554"/>
    </row>
    <row r="29" spans="1:5" s="551" customFormat="1" ht="12.75" customHeight="1">
      <c r="A29" s="548"/>
      <c r="B29" s="548" t="s">
        <v>276</v>
      </c>
      <c r="C29" s="549">
        <v>0</v>
      </c>
      <c r="D29" s="549">
        <f>SUM(D17:D27)</f>
        <v>1768683</v>
      </c>
      <c r="E29" s="555"/>
    </row>
    <row r="30" spans="1:5" s="533" customFormat="1" ht="12.75" customHeight="1">
      <c r="A30" s="540"/>
      <c r="B30" s="540"/>
      <c r="C30" s="537"/>
      <c r="D30" s="537"/>
      <c r="E30" s="554"/>
    </row>
    <row r="31" spans="1:5" s="533" customFormat="1" ht="12.75" customHeight="1">
      <c r="A31" s="540" t="s">
        <v>317</v>
      </c>
      <c r="B31" s="540"/>
      <c r="C31" s="537"/>
      <c r="D31" s="537"/>
      <c r="E31" s="554"/>
    </row>
    <row r="32" spans="1:5" s="533" customFormat="1" ht="12.75" customHeight="1">
      <c r="A32" s="540"/>
      <c r="B32" s="540" t="s">
        <v>301</v>
      </c>
      <c r="C32" s="537">
        <v>0</v>
      </c>
      <c r="D32" s="537">
        <v>720</v>
      </c>
      <c r="E32" s="554"/>
    </row>
    <row r="33" spans="1:5" s="533" customFormat="1" ht="12.75" customHeight="1">
      <c r="A33" s="540"/>
      <c r="B33" s="540"/>
      <c r="C33" s="537"/>
      <c r="D33" s="537"/>
      <c r="E33" s="554"/>
    </row>
    <row r="34" spans="1:5" s="551" customFormat="1" ht="12.75" customHeight="1">
      <c r="A34" s="548"/>
      <c r="B34" s="548" t="s">
        <v>276</v>
      </c>
      <c r="C34" s="549">
        <v>0</v>
      </c>
      <c r="D34" s="549">
        <f>D32</f>
        <v>720</v>
      </c>
      <c r="E34" s="555"/>
    </row>
    <row r="35" spans="1:5" s="533" customFormat="1" ht="12.75" customHeight="1" thickBot="1">
      <c r="A35" s="540"/>
      <c r="B35" s="540"/>
      <c r="C35" s="537"/>
      <c r="D35" s="546"/>
      <c r="E35" s="556"/>
    </row>
    <row r="36" spans="1:5" s="533" customFormat="1" ht="18.75" customHeight="1" thickBot="1">
      <c r="A36" s="557" t="s">
        <v>318</v>
      </c>
      <c r="B36" s="557"/>
      <c r="C36" s="558">
        <v>0</v>
      </c>
      <c r="D36" s="558">
        <f>D14+D29+D34</f>
        <v>11551389.01</v>
      </c>
      <c r="E36" s="557"/>
    </row>
    <row r="37" spans="3:5" ht="12.75">
      <c r="C37" s="560"/>
      <c r="D37" s="560"/>
      <c r="E37" s="561"/>
    </row>
    <row r="38" spans="3:5" ht="12.75">
      <c r="C38" s="560"/>
      <c r="D38" s="560"/>
      <c r="E38" s="561"/>
    </row>
    <row r="39" spans="3:5" ht="12.75">
      <c r="C39" s="560"/>
      <c r="D39" s="560"/>
      <c r="E39" s="561"/>
    </row>
    <row r="40" spans="3:5" ht="12.75">
      <c r="C40" s="560"/>
      <c r="D40" s="560"/>
      <c r="E40" s="561"/>
    </row>
    <row r="41" spans="2:5" ht="12.75">
      <c r="B41" s="563"/>
      <c r="C41" s="560"/>
      <c r="D41" s="560"/>
      <c r="E41" s="561"/>
    </row>
    <row r="42" ht="12.75">
      <c r="E42" s="561"/>
    </row>
    <row r="43" ht="12.75">
      <c r="E43" s="560"/>
    </row>
    <row r="44" spans="2:5" ht="12.75">
      <c r="B44" s="565"/>
      <c r="C44" s="566"/>
      <c r="E44" s="561"/>
    </row>
    <row r="45" ht="12.75">
      <c r="E45" s="561"/>
    </row>
    <row r="46" ht="12.75">
      <c r="E46" s="561"/>
    </row>
    <row r="47" ht="12.75">
      <c r="E47" s="561"/>
    </row>
    <row r="48" ht="12.75">
      <c r="E48" s="561"/>
    </row>
    <row r="49" ht="12.75">
      <c r="E49" s="561"/>
    </row>
    <row r="50" spans="2:5" ht="12.75">
      <c r="B50" s="564"/>
      <c r="E50" s="561"/>
    </row>
    <row r="51" spans="2:5" ht="12.75">
      <c r="B51" s="564"/>
      <c r="E51" s="561"/>
    </row>
    <row r="52" ht="12.75">
      <c r="E52" s="561"/>
    </row>
    <row r="53" spans="2:5" ht="12.75">
      <c r="B53" s="564"/>
      <c r="E53" s="561"/>
    </row>
    <row r="54" spans="2:5" ht="12.75">
      <c r="B54" s="564"/>
      <c r="E54" s="561"/>
    </row>
    <row r="55" ht="12.75">
      <c r="E55" s="561"/>
    </row>
    <row r="56" ht="12.75">
      <c r="E56" s="561"/>
    </row>
    <row r="57" ht="12.75">
      <c r="E57" s="561"/>
    </row>
    <row r="58" ht="12.75">
      <c r="E58" s="561"/>
    </row>
    <row r="59" ht="12.75">
      <c r="E59" s="561"/>
    </row>
    <row r="60" ht="12.75">
      <c r="E60" s="561"/>
    </row>
    <row r="61" ht="12.75">
      <c r="E61" s="561"/>
    </row>
    <row r="62" ht="12.75">
      <c r="E62" s="561"/>
    </row>
    <row r="63" ht="12.75">
      <c r="E63" s="561"/>
    </row>
    <row r="64" ht="12.75">
      <c r="E64" s="561"/>
    </row>
    <row r="65" ht="12.75">
      <c r="E65" s="561"/>
    </row>
    <row r="66" ht="12.75">
      <c r="E66" s="561"/>
    </row>
    <row r="67" ht="12.75">
      <c r="E67" s="561"/>
    </row>
    <row r="68" ht="12.75">
      <c r="E68" s="561"/>
    </row>
    <row r="69" ht="12.75">
      <c r="E69" s="561"/>
    </row>
  </sheetData>
  <mergeCells count="1">
    <mergeCell ref="A2:B2"/>
  </mergeCells>
  <printOptions gridLines="1" horizontalCentered="1" verticalCentered="1"/>
  <pageMargins left="0.1968503937007874" right="0.1968503937007874" top="1.1023622047244095" bottom="0.5511811023622047" header="0.7480314960629921" footer="0.31496062992125984"/>
  <pageSetup firstPageNumber="12" useFirstPageNumber="1" horizontalDpi="600" verticalDpi="600" orientation="landscape" paperSize="9" scale="95" r:id="rId1"/>
  <headerFooter alignWithMargins="0">
    <oddHeader>&amp;C&amp;"Arial CE,Tučné"&amp;12Hospodaření účelových nerozpočtovaných fondů</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kotja</dc:creator>
  <cp:keywords/>
  <dc:description/>
  <cp:lastModifiedBy>kotja</cp:lastModifiedBy>
  <cp:lastPrinted>2011-03-30T05:37:36Z</cp:lastPrinted>
  <dcterms:created xsi:type="dcterms:W3CDTF">2010-10-07T08:55:45Z</dcterms:created>
  <dcterms:modified xsi:type="dcterms:W3CDTF">2011-05-11T06:49:49Z</dcterms:modified>
  <cp:category/>
  <cp:version/>
  <cp:contentType/>
  <cp:contentStatus/>
</cp:coreProperties>
</file>