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firstSheet="1" activeTab="1"/>
  </bookViews>
  <sheets>
    <sheet name="soupis příloh" sheetId="1" r:id="rId1"/>
    <sheet name=" rekapitaluce 2013 " sheetId="2" r:id="rId2"/>
    <sheet name="příjmy 2013" sheetId="3" r:id="rId3"/>
    <sheet name="sumář odbory" sheetId="4" r:id="rId4"/>
    <sheet name="Granty" sheetId="5" r:id="rId5"/>
    <sheet name="Granty-podrobně" sheetId="6" r:id="rId6"/>
    <sheet name="sport. zařízení" sheetId="7" r:id="rId7"/>
    <sheet name="členské přísp." sheetId="8" r:id="rId8"/>
    <sheet name="Velké opravy" sheetId="9" r:id="rId9"/>
    <sheet name="Plány rozvoje" sheetId="10" r:id="rId10"/>
    <sheet name="mzdy" sheetId="11" r:id="rId11"/>
    <sheet name="OVS" sheetId="12" r:id="rId12"/>
    <sheet name="PO" sheetId="13" r:id="rId13"/>
    <sheet name="PO školství" sheetId="14" r:id="rId14"/>
  </sheets>
  <externalReferences>
    <externalReference r:id="rId17"/>
    <externalReference r:id="rId18"/>
  </externalReferences>
  <definedNames>
    <definedName name="_xlnm.Print_Titles" localSheetId="1">' rekapitaluce 2013 '!$1:$1</definedName>
    <definedName name="_xlnm.Print_Titles" localSheetId="7">'členské přísp.'!$1:$1</definedName>
    <definedName name="_xlnm.Print_Titles" localSheetId="4">'Granty'!$1:$1</definedName>
    <definedName name="_xlnm.Print_Titles" localSheetId="5">'Granty-podrobně'!$1:$1</definedName>
    <definedName name="_xlnm.Print_Titles" localSheetId="10">'mzdy'!$1:$1</definedName>
    <definedName name="_xlnm.Print_Titles" localSheetId="11">'OVS'!$1:$1</definedName>
    <definedName name="_xlnm.Print_Titles" localSheetId="12">'PO'!$1:$1</definedName>
    <definedName name="_xlnm.Print_Titles" localSheetId="13">'PO školství'!$1:$1</definedName>
    <definedName name="_xlnm.Print_Titles" localSheetId="2">'příjmy 2013'!$1:$1</definedName>
    <definedName name="_xlnm.Print_Titles" localSheetId="3">'sumář odbory'!$1:$1</definedName>
    <definedName name="_xlnm.Print_Titles" localSheetId="8">'Velké opravy'!$1:$1</definedName>
    <definedName name="_xlnm.Print_Area" localSheetId="1">' rekapitaluce 2013 '!$A$1:$M$47</definedName>
    <definedName name="_xlnm.Print_Area" localSheetId="7">'členské přísp.'!$A$1:$V$41</definedName>
    <definedName name="_xlnm.Print_Area" localSheetId="4">'Granty'!$A$1:$R$14</definedName>
    <definedName name="_xlnm.Print_Area" localSheetId="5">'Granty-podrobně'!$A$1:$V$408</definedName>
    <definedName name="_xlnm.Print_Area" localSheetId="10">'mzdy'!$A$1:$V$35</definedName>
    <definedName name="_xlnm.Print_Area" localSheetId="11">'OVS'!$A$1:$O$98</definedName>
    <definedName name="_xlnm.Print_Area" localSheetId="12">'PO'!$A$1:$V$27</definedName>
    <definedName name="_xlnm.Print_Area" localSheetId="2">'příjmy 2013'!$A$1:$L$115</definedName>
    <definedName name="_xlnm.Print_Area" localSheetId="0">'soupis příloh'!$A$1:$H$46</definedName>
    <definedName name="_xlnm.Print_Area" localSheetId="6">'sport. zařízení'!$B$1:$J$6</definedName>
    <definedName name="_xlnm.Print_Area" localSheetId="3">'sumář odbory'!$A$1:$L$22</definedName>
    <definedName name="Odložené_zahájení">#REF!</definedName>
    <definedName name="Rozestavěné_stavby">#REF!</definedName>
    <definedName name="Soupis98">#REF!</definedName>
    <definedName name="Sumář99_Dotaz_plán99">#REF!</definedName>
    <definedName name="Sumář99_Dotaz98">#REF!</definedName>
  </definedNames>
  <calcPr fullCalcOnLoad="1"/>
</workbook>
</file>

<file path=xl/sharedStrings.xml><?xml version="1.0" encoding="utf-8"?>
<sst xmlns="http://schemas.openxmlformats.org/spreadsheetml/2006/main" count="3919" uniqueCount="1062">
  <si>
    <t>4116 - ÚZ 29008 Mze ČR na činnost odborného lesního hospodáře - ostatní neinvestiční přijaté transfery ze státního rozpočtu</t>
  </si>
  <si>
    <t>4116 - ÚZ 14005 MV ČR na projekt "Prevence kriminality v roce 2012" - ostatní neinvestiční přijaté transfery ze státního rozpočtu</t>
  </si>
  <si>
    <t>4116 - ÚZ 13008 MPSV ČR na dofinancování dávek sociální péče přiznaným v r. 2011 -ostatní neinvestiční přijaté transfery ze státního rozpočtu</t>
  </si>
  <si>
    <t>Investice MMOl</t>
  </si>
  <si>
    <t>krátkodobé přijaté půjčené prostředky</t>
  </si>
  <si>
    <t>KB, a. s. revolving</t>
  </si>
  <si>
    <t>uhrazené splátky krátk. přij. půjč. prostř.</t>
  </si>
  <si>
    <t>KB, a. s. směnečný program</t>
  </si>
  <si>
    <t>dlouhodobé přijaté půjčené prostředky</t>
  </si>
  <si>
    <t>uhrazené splátky dlouhodob. přij. půjč. prostř.</t>
  </si>
  <si>
    <t>2219-Ostatní záležitosti pozemních komunikací</t>
  </si>
  <si>
    <t>CELKEM 2219</t>
  </si>
  <si>
    <t>2321-Odvádění a čistění odpadních vod a nakládání s kaly</t>
  </si>
  <si>
    <t>CELKEM 2321</t>
  </si>
  <si>
    <t>3111-Předškolní zařízení</t>
  </si>
  <si>
    <t>CELKEM 3111</t>
  </si>
  <si>
    <t>3326-Pořízení, zachování a obnova hodnot místního kulturního, národního a historického povědomí</t>
  </si>
  <si>
    <t>270</t>
  </si>
  <si>
    <t>25</t>
  </si>
  <si>
    <t>CELKEM 3326</t>
  </si>
  <si>
    <t>3632-Pohřebnictví</t>
  </si>
  <si>
    <t>3745-Péče o vzhled obcí a veřejnou zeleň</t>
  </si>
  <si>
    <t>342</t>
  </si>
  <si>
    <t>7</t>
  </si>
  <si>
    <t>360</t>
  </si>
  <si>
    <t>Obnova zeleně ústředního hřbitova v Olomouci - očekávaná dotace ve výši 2,4 mil Kč, fond 15</t>
  </si>
  <si>
    <t>CELKEM 3745</t>
  </si>
  <si>
    <t>136</t>
  </si>
  <si>
    <t>452</t>
  </si>
  <si>
    <t xml:space="preserve">Radnice - úpravy - střecha- smlouva na PD podepsána v červenci 2012 - vzhledem k zaměření celé střechy bude PD zpracována až v lednu roku 2013 </t>
  </si>
  <si>
    <t>100</t>
  </si>
  <si>
    <t xml:space="preserve">Návrh
rozpočtu 2013                po pracovních skupinách  </t>
  </si>
  <si>
    <t>ODBOR KONCEPCE A ROZVOJE</t>
  </si>
  <si>
    <t>3635-Územní plánování</t>
  </si>
  <si>
    <t>5221-Neinvestiční transfery obecně prospěšným společnostem</t>
  </si>
  <si>
    <t>IP příspěvek města do regionálního fondu pro přípravu projektů</t>
  </si>
  <si>
    <t>5229-Ostatní neinvestiční transfery neziskovým a podobným organizacím</t>
  </si>
  <si>
    <t>4123 - ÚZ 355 87005 na akci "Štítného ul. - rekonstrukce komunikace" - (zpětný doplatek) zvláštní účet, fond 12 - neinvestiční přijaté transfery od regionálních rad</t>
  </si>
  <si>
    <t>4132 - převody z ostatních vlastních fondů (depozit) - 13,8 mil. Kč firma EKO-KOM na odpadové hospodářství (OŽP); 18.447,-- Kč nalezené peníze</t>
  </si>
  <si>
    <t>4213 - ÚZ 541 90877 SFŽP ČR na projekt "Energeticky úsporná opatření na veřejných budovách Olomouc, část 1" - zvláštní účet, fond 19 - investiční přijaté transfery ze státních fondů</t>
  </si>
  <si>
    <t>4213 - ÚZ 541 90877 SFŽP ČR na projekt "Energeticky úsporná opatření na veřejných budovách Olomouc, část 2" - zvláštní úče, fond 32 - investiční přijaté transfery ze státních fondů</t>
  </si>
  <si>
    <t>4213 - ÚZ 541 90877 SFŽP ČR na projekt "Úspory energetické náročnosti budov ve vzdělávácích zařízeních" - zvláštní účet, fond 16 - investiční přijaté transfery ze státních fondů</t>
  </si>
  <si>
    <t>4216 - ÚZ 545 15839 MŽP ČR na projekt "Rozšíření odděleného sběru BRKO v Olomouci" - zvláštní účet, fond 13 - ostatní investiční přijaté transfery ze státního rozpočtu</t>
  </si>
  <si>
    <t>4216 - ÚZ 34544 MK ČR pro KMO na projekt "Centrum elektronických zdrojů" - ostatní investiční přijaté transfery ze státního rozpočtu</t>
  </si>
  <si>
    <t>4216 - ÚZ 545 15835 MŽP ČR na projekt "Energeticky úsporná opatření na veřejných budovách Olomouc, část 1" - zvláštní účet, fond 19 - ostatní investiční přijaté transfery ze státního rozpočtu</t>
  </si>
  <si>
    <t>4216 - ÚZ 545 15835 MŽP ČR na projekt "Energeticky úsporná opatření na veřejných budovách Olomouc, část 2" - zvláštní účet, fond 32 - ostatní investiční přijaté transfery ze státního rozpočtu</t>
  </si>
  <si>
    <t>4216 - ÚZ 545 15835 MŽP ČR na projekt "Úspory energetické náročnosti budov ve vzdělávácích zařízeních" - zvláštní účet, fond 16 - ostatní investiční přijaté transfery ze státního rozpočtu</t>
  </si>
  <si>
    <t>4216 - ÚZ 105 15796 Fond soudržnosti - projekt "ISPA" - (pozastávka) zvláštní účet, fond 5 - ostatní investiční přijaté transfery ze státního rozpočtu</t>
  </si>
  <si>
    <t>4218 - ÚZ 415 95823 NF na projekt "Po stopách sv. Jana Sarkandra" - zvláštní € účet, fond 9 - investiční převody z Národního fondu</t>
  </si>
  <si>
    <t>4218 - ÚZ 415 95823 NF na projekt "Spolupráce ZOO Olomouc a ZOO Opole v oblasti cestovního ruchu" - zvláštní € účet, fond 4 - investiční převody z Národního fondu</t>
  </si>
  <si>
    <t>4223 - ÚZ 985 87505 Regionální rada regionu soudržnosti Střední Morava na projekt "Rekonstrukce ul. U Botanické zahrady" - investiční přijaté transfery od regionálních rad</t>
  </si>
  <si>
    <t>4223 - ÚZ 385 87505 Regionální rada regionu soudržnosti Střední Morava na projekt "Turistický multimediální průvodce Olomoucí pro mobilní telekomunikační technologie OLINA" - zvláštní účet, fond 1 - zpětný doplatek - investiční přijaté transfery od region</t>
  </si>
  <si>
    <t xml:space="preserve">2329 - dotační tituly, na jejichž příjem v roce 2013 jsou podepsány závazné smlouvy - ostatní nedaňové příjmy j. n.         </t>
  </si>
  <si>
    <t>2324 - např. vratky přeplatků záloh z minulých let za energie, náhradní výsadby atd. - přijaté nekapitálové příspěvky a náhrady</t>
  </si>
  <si>
    <t>4223 - ÚZ 385 87505 na akci "Krakovská ul. - rekonstrukce komunikace" - (zpětný doplatek) investiční přijaté transfery od regionálních rad</t>
  </si>
  <si>
    <t xml:space="preserve">4116 - ÚZ 411 17007 MMR ČR na projekt "Po stopách sv. Jana Sarkandra" - zvláštní účet, fond 8 - ostatní neinvestiční přijaté transfery ze státního rozpočtu </t>
  </si>
  <si>
    <t>4116 - ÚZ 34054 MK ČR na program "Regenerace MPZ a MPR na rok 2012" - ostatní neinvestiční přijaté transfery ze státního rozpočtu</t>
  </si>
  <si>
    <t>4118 - ÚZ 415 95113 NF na projekt "Po stopách sv. Jana Sarkandra" - zvláštní € účet, fond 9 - neinvestiční převody z Národního fondu</t>
  </si>
  <si>
    <t>4118 - ÚZ 415 95113 NF na projekt "Spolupráce ZOO Olomouc a ZOO Opole v oblasti cestovního ruchu" - zvláštní € účet, fond 4 - neinvestiční převody z Národního fondu</t>
  </si>
  <si>
    <t>4118 - ÚZ 609 95001 NF na projekt "Tramvajová trať Nové Sady" - zvláštní účet, fond 17 - neinvestiční převody z Národního fondu</t>
  </si>
  <si>
    <t>4119 - ÚZ 4444 Západočeská univerzita Plzeň na projekt "Plan4all" - ostatní neinvestiční přijaté transfery od rozpočtů územní úrovně</t>
  </si>
  <si>
    <t>4121 - úhrady od obecních úřadů za výkon státní správy - neinvestiční přijaté transfery od obcí</t>
  </si>
  <si>
    <t>zástup za pracovnice na KSMO po dobu dovolené, nemoci atp., úklid Kopeček</t>
  </si>
  <si>
    <t>25% z platů a OOV (org. 420)</t>
  </si>
  <si>
    <t>9% z platů + OOV (org. 420)</t>
  </si>
  <si>
    <t>CELKEM MZDY - MĚSTSKÁ POLICIE</t>
  </si>
  <si>
    <t>CELKEM MZDY</t>
  </si>
  <si>
    <t>114</t>
  </si>
  <si>
    <t>58</t>
  </si>
  <si>
    <t>Schválený
rozpočet  2012</t>
  </si>
  <si>
    <t>Čerpání říjen
2012</t>
  </si>
  <si>
    <t>I. čtení RMO 13.11.2012 změna +/-</t>
  </si>
  <si>
    <t>6409-Ostatní činnosti jinde nezařazené</t>
  </si>
  <si>
    <t>206</t>
  </si>
  <si>
    <t>Knihovna města Olomouce - oprava střechy- PD je zpracována, stavební povolení je platné...</t>
  </si>
  <si>
    <t>560</t>
  </si>
  <si>
    <t>553</t>
  </si>
  <si>
    <t>CELKEM 6409</t>
  </si>
  <si>
    <t>766</t>
  </si>
  <si>
    <t>759</t>
  </si>
  <si>
    <t>CELKEM ODBOR INVESTIC</t>
  </si>
  <si>
    <t>ODBOR DOPRAVY</t>
  </si>
  <si>
    <t>opravy komunikací a chodníků, cyklostezky</t>
  </si>
  <si>
    <t>podzemní parkoviště, schodiště, výtahy</t>
  </si>
  <si>
    <t>2251-Letiště</t>
  </si>
  <si>
    <t>350</t>
  </si>
  <si>
    <t>305</t>
  </si>
  <si>
    <t>opravy objektů v areálu letiště, opravy pojezdových drah</t>
  </si>
  <si>
    <t>CELKEM 2251</t>
  </si>
  <si>
    <t>3631-Veřejné osvětlení</t>
  </si>
  <si>
    <t>opravy světelných signalizačních zařízení a veřejného osvětlení, přeložky VO, aktualizace signálních plánů, havarijní stavy VO</t>
  </si>
  <si>
    <t>Tovární-Rolsberská ul.</t>
  </si>
  <si>
    <t>CELKEM 3631</t>
  </si>
  <si>
    <t>CELKEM ODBOR DOPRAVY</t>
  </si>
  <si>
    <t>ODBOR VNĚJŠÍCH VZTAHŮ A INFORMACÍ - KMČ</t>
  </si>
  <si>
    <t>3419-Ostatní tělovýchovná činnost</t>
  </si>
  <si>
    <t>Zimní stadion - rekonstrukce šaten mládeže a krasobruslení pod jižní tribunou</t>
  </si>
  <si>
    <t>CELKEM 3419</t>
  </si>
  <si>
    <t>4122 - ÚZ 00414 Olomoucký kraj na projekt "Noclehárna v Olomouci - Řepčíně" - neinvestiční přijaté transfery od krajů</t>
  </si>
  <si>
    <t>Změna RMO 13. 11.2012 +/-</t>
  </si>
  <si>
    <t>TSMO,a.s. OVS org. 10567 veřejné osvětlení a SSZ</t>
  </si>
  <si>
    <t>TSMO,a.s. OVS org. 10568 pasport VO a SSZ</t>
  </si>
  <si>
    <t>2221-Provoz veřejné silniční dopravy</t>
  </si>
  <si>
    <t>5193-Výdaje na dopravní územní obslužnost</t>
  </si>
  <si>
    <t xml:space="preserve">DPMO,a.s.  OVS org. 2671 dopr. obsl. </t>
  </si>
  <si>
    <t>Veolia Transport Morava, a.s. OVS org. 2672 dopr. obsl. Veolia</t>
  </si>
  <si>
    <t>435</t>
  </si>
  <si>
    <t>432</t>
  </si>
  <si>
    <t>ostatní OVS org. 2674 smluvní jízdné</t>
  </si>
  <si>
    <t>CELKEM 2221</t>
  </si>
  <si>
    <t>CELKEM OVS ODBOR DOPRAVY</t>
  </si>
  <si>
    <t>OVS ODBOR AGENDY ŘIDIČŮ A MOTOROVÝCH VOZIDEL</t>
  </si>
  <si>
    <t xml:space="preserve">TSMO,a.s. OVS Centrum Semafor - údržba venkovního areálu Centra Semafor
</t>
  </si>
  <si>
    <t>CELKEM OVS ODBOR AGENDY ŘIDIČŮ A MOTOROVÝCH VOZIDEL</t>
  </si>
  <si>
    <t>OVS ODBOR VNĚJŠÍCH VZTAHŮ A INFORMACÍ</t>
  </si>
  <si>
    <t>2229-Ostatní záležitosti v silniční dopravě</t>
  </si>
  <si>
    <t>294</t>
  </si>
  <si>
    <t>CELKEM 3329</t>
  </si>
  <si>
    <t xml:space="preserve">CELKEM ODBOR MAJETKOPRÁVNÍ </t>
  </si>
  <si>
    <t>CELKEM ODBOR EVROPSKÝCH PROJEKTŮ</t>
  </si>
  <si>
    <t>OK4Inovace, ohledem na příspěvek města na činnost OK4 Inovace ve výši 1,5mil. Kč a podporu inovačních produktů ve výši 0,5mil. Kč v roce 2012 se dá předpokládat odborná výše příspěvků města na rok 2013 (stipendijní programy apod.), čerpání bude upřesňován</t>
  </si>
  <si>
    <t>5329-Ostatní neinvestiční transfery veřejným rozpočtům územní úrovně</t>
  </si>
  <si>
    <t>401</t>
  </si>
  <si>
    <t>IP: přísp. Sdružení obcí Střední Moravy 4,- Kč na obyvatele,  ZP 026</t>
  </si>
  <si>
    <t>CELKEM 3635</t>
  </si>
  <si>
    <t>6</t>
  </si>
  <si>
    <t>členské příspěvky v odborných asociacích a společnostech pro pracovníky vysílané zaměstnavatelem</t>
  </si>
  <si>
    <t>CELKEM ODBOR KONCEPCE A ROZVOJE</t>
  </si>
  <si>
    <t>členský příspěvek Sdružení správců komunikací</t>
  </si>
  <si>
    <t>ODBOR VNĚJŠÍCH VZTAHŮ A INFORMACÍ</t>
  </si>
  <si>
    <t>2141-Vnitřní obchod</t>
  </si>
  <si>
    <t>členský příspěvek Asociace turistických informačních center - 4 tis., Cyklisté vítání - 2 tis.</t>
  </si>
  <si>
    <t>CELKEM 2141</t>
  </si>
  <si>
    <t>2143-Cestovní ruch</t>
  </si>
  <si>
    <t>302</t>
  </si>
  <si>
    <t>300</t>
  </si>
  <si>
    <t xml:space="preserve"> Sdružení CR  Střední  Moravy - členský příspěvek</t>
  </si>
  <si>
    <t>2191-Mezinárodní spolupráce v průmyslu, stavebnictví, obchodu a službách</t>
  </si>
  <si>
    <t>35</t>
  </si>
  <si>
    <t>Projekt Mozart Way</t>
  </si>
  <si>
    <t>103</t>
  </si>
  <si>
    <t>Sdružení historických sídel</t>
  </si>
  <si>
    <t>České dědictví UNESCO</t>
  </si>
  <si>
    <t>191</t>
  </si>
  <si>
    <t>190</t>
  </si>
  <si>
    <t>Svaz měst a obcí - členský příspěvek</t>
  </si>
  <si>
    <t>CELKEM ODBOR VNĚJŠÍCH VZTAHŮ A INFORMACÍ</t>
  </si>
  <si>
    <t>800</t>
  </si>
  <si>
    <t>780</t>
  </si>
  <si>
    <t>802</t>
  </si>
  <si>
    <t>1342 - poplatek za lázeňský nebo rekreační pobyt</t>
  </si>
  <si>
    <t>1343 - poplatek za užívání veřejného prostranství</t>
  </si>
  <si>
    <t>1344 - poplatek ze vstupného</t>
  </si>
  <si>
    <t>1345 - poplatek z ubytovací kapacity</t>
  </si>
  <si>
    <t>org. 1180 Knihovna města Olomouce</t>
  </si>
  <si>
    <t>dohody o prac. činnosti a o prov. práce + detaš. prac. MMOl</t>
  </si>
  <si>
    <t>platové postupy a další úpravy (rozpočtovaní všichni zaměstnanci MMOl), v tom není zahrnuta očekávaná dotace ve výši 6,2 mil. Kč na pracovníky odboru soc. věcí</t>
  </si>
  <si>
    <t>2112 - příjmy z prodeje tiskopisů receptů (odbor sociálních věcí) - příjmy z prodeje zboží</t>
  </si>
  <si>
    <t>Příloha č. 6</t>
  </si>
  <si>
    <t>Příloha č. 9</t>
  </si>
  <si>
    <t>4123 - ÚZ 385 87005 Regionální rada regionu soudržnosti Střední Morava na projekt "Turistický multimediální průvodce Olomoucí pro mobilní telekomunikační technologie OLINA" - zvláštní účet, fond 1 - zpětný doplatek - neinvestiční přijaté transfery od regionálních rad</t>
  </si>
  <si>
    <t>Čerpání říjen 2012</t>
  </si>
  <si>
    <t>Návrh rozpočtu 2013                            po pracovních skupinách</t>
  </si>
  <si>
    <t>I. čtení 13.11.2012 změna +/-</t>
  </si>
  <si>
    <t>ODBOR INVESTIC</t>
  </si>
  <si>
    <t>2212-Silnice</t>
  </si>
  <si>
    <t>5169-Nákup ostatních služeb</t>
  </si>
  <si>
    <t>240</t>
  </si>
  <si>
    <t>2212 - pokuty Městská policie - přijaté sankční platby</t>
  </si>
  <si>
    <t>2212 - pokuty odbor životního prostředí - přijaté sankční platby</t>
  </si>
  <si>
    <t>2324 - výnosy soudních řízení - přijaté nekapitálové příspěvky a náhrady</t>
  </si>
  <si>
    <t>Po RMO 13.11.2012</t>
  </si>
  <si>
    <t>MZDY  - MMOl</t>
  </si>
  <si>
    <t>CELKEM MZDY - MMOl</t>
  </si>
  <si>
    <t>338</t>
  </si>
  <si>
    <t>249</t>
  </si>
  <si>
    <t>74</t>
  </si>
  <si>
    <t>637</t>
  </si>
  <si>
    <t>51</t>
  </si>
  <si>
    <t>0</t>
  </si>
  <si>
    <t/>
  </si>
  <si>
    <t>Paragraf</t>
  </si>
  <si>
    <t>Položka</t>
  </si>
  <si>
    <t>v tis. Kč</t>
  </si>
  <si>
    <t>150</t>
  </si>
  <si>
    <t>18</t>
  </si>
  <si>
    <t>5</t>
  </si>
  <si>
    <t>400</t>
  </si>
  <si>
    <t>3</t>
  </si>
  <si>
    <t>9</t>
  </si>
  <si>
    <t>6171-Činnost místní správy</t>
  </si>
  <si>
    <t>4</t>
  </si>
  <si>
    <t>CELKEM 6171</t>
  </si>
  <si>
    <t>5311-Bezpečnost a veřejný pořádek</t>
  </si>
  <si>
    <t>12</t>
  </si>
  <si>
    <t>16</t>
  </si>
  <si>
    <t>30</t>
  </si>
  <si>
    <t>250</t>
  </si>
  <si>
    <t>41</t>
  </si>
  <si>
    <t>24</t>
  </si>
  <si>
    <t>320</t>
  </si>
  <si>
    <t>6112-Zastupitelstva obcí</t>
  </si>
  <si>
    <t>138</t>
  </si>
  <si>
    <t>900</t>
  </si>
  <si>
    <t>402</t>
  </si>
  <si>
    <t>Upravený rozpočet                                k 30.10.2012</t>
  </si>
  <si>
    <t xml:space="preserve">Návrh rozpočtu 2013                          po pracovních skupinách
</t>
  </si>
  <si>
    <t>Schválený
rozpočet 2012</t>
  </si>
  <si>
    <t>Upravený rozpočet                  k 30.10.2012</t>
  </si>
  <si>
    <t>-5</t>
  </si>
  <si>
    <t>CELKEM ODBOR ŠKOLSTVÍ</t>
  </si>
  <si>
    <t>4359-Ostatní služby a činnosti v oblasti sociální péče.</t>
  </si>
  <si>
    <t xml:space="preserve">Upravený rozpočet                k 30.10.2012
</t>
  </si>
  <si>
    <t>2343 - příjmy z úhrad dobývacího prostoru</t>
  </si>
  <si>
    <t>2460 - Fond rozvoje bydlení - splátky půjčených prostředků od obyvatelstva (vč. úroků z prodlení)</t>
  </si>
  <si>
    <t>ostatní OVS org. 2675 změny jízdních řádů</t>
  </si>
  <si>
    <t>2141 - příjmy z úroků</t>
  </si>
  <si>
    <t>2212 - pokuty stavební odbor - přijaté sankční platby</t>
  </si>
  <si>
    <t>2212 - pokuty odbor agendy řidičů a motorových vozidel - příjaté sankční platby</t>
  </si>
  <si>
    <t>40 000+4 555</t>
  </si>
  <si>
    <t>108</t>
  </si>
  <si>
    <t>4122 - ÚZ 00213 Olomoucký kraj pro Moravskou filharmonii (600 tis. Kč hudební festival "Dvořákova Olomouc"; 150 tis. Kč Mezinárodní varhanní festival; 300 tis. Kč na koncert sólisty V. Hudečka) - neinvestiční přijaté transfery od krajů</t>
  </si>
  <si>
    <t>4122 - ÚZ 00204 - Olomoucký kraj pro Knihovnu města Olomouce na plnění regionální funkce knihovny - neinvestiční přijaté transfery od krajů</t>
  </si>
  <si>
    <t>4122 - ÚZ 321 33006 - Olomoucký kraj na OP "Vzdělávání pro konkurenceschopnost" - neinvestiční přijaté transfery od krajů</t>
  </si>
  <si>
    <t>4122 - ÚZ 325 33006 - Olomoucký kraj na OP "Vzdělávání pro konkurenceschopnost" - neinvestiční přijaté transfery od krajů</t>
  </si>
  <si>
    <t>4122 - ÚZ 00501 Olomoucký kraj na projekt "EUROPE DIRECT- zvláštní účet, fond 23 - neinvestiční přijaté transfery od krajů</t>
  </si>
  <si>
    <t>4122 - ÚZ 321 33006 MŠMT ČR na projekt "Dejme šanci přírodě" - zvláštní účet, fond 7 - neinvestiční přijaté transfery od krajů</t>
  </si>
  <si>
    <t>4122 - ÚZ 325 33006 MŠMT ČR na projekt "Dejme šanci přírodě" - zvláštní účet, fond 7 - neinvestiční přijaté transfery od krajů</t>
  </si>
  <si>
    <t>4122 - ÚZ 00212 Olomoucký kraj pro Divadlo hudby na "Dny židovské kultury" - neinvestiční přijaté transfery od krajů</t>
  </si>
  <si>
    <t>4122 - ÚZ 14004 MV ČR na výdaje jednotek sboru dobrovolných hasičů - neinvestiční přijaté transfery od krajů</t>
  </si>
  <si>
    <t>4122 - ÚZ 00200 Olomoucký kraj pro Moravské divadlo (1.392 tis. Kč) a Moravskou filharmonii (304 tis. Kč)</t>
  </si>
  <si>
    <t>4122 - ÚZ 00112 Olomoucký kraj na Program podpory environmentálního vzdělávání, výchovy a osvěty - neinvestiční přijaté transfery od krajů</t>
  </si>
  <si>
    <t>CELKEM PŘÍSPĚVKOVÉ ORGANIZACE - INDIVIDUÁLNÍ PŘÍSLIB</t>
  </si>
  <si>
    <t>Upravený rozpočet                 k 30.10.2012</t>
  </si>
  <si>
    <t>Návrh rozpočtu 2013                          po pracovních  skupinách</t>
  </si>
  <si>
    <t>CELKEM PLÁNY ROZVOJE NAD 1 MIL. KČ</t>
  </si>
  <si>
    <t>4116 - ÚZ 325 33123 MŠMT ČR na projekt "Zlepšení podmínek pro vzdělávání na ZŠ" - ostatní neinvestiční přijaté transfery ze státního rozpočtu</t>
  </si>
  <si>
    <t>4116 - ÚZ 321 33123 MŠMT ČR na projekt "Zlepšení podmínek pro vzdělávání na ZŠ" - ostatní neinvestiční přijaté transfery ze státního rozpočtu</t>
  </si>
  <si>
    <t>Návrh skupiny ZMO</t>
  </si>
  <si>
    <t>5012-Platy zaměstnanců ozbrojených sborů a složek ve služebním poměru</t>
  </si>
  <si>
    <t>ost. platby za provedenou práci jinde nezař.</t>
  </si>
  <si>
    <t>5024-Odstupné</t>
  </si>
  <si>
    <t>povinný odvod 4,2 prom. ze základu pro soc. poj. včetně Městské policie</t>
  </si>
  <si>
    <t>5195-Odvody za neplnění povinnosti zaměstnávat zdravotně postižené</t>
  </si>
  <si>
    <t>ZPS zvýšený odvod</t>
  </si>
  <si>
    <t>27 KMČ x 90 tis. Kč</t>
  </si>
  <si>
    <t>CELKEM ODBOR VNĚJŠÍCH VZTAHŮ A INFORMACÍ - KMČ</t>
  </si>
  <si>
    <t>ODBOR SOCIÁLNÍCH VĚCÍ</t>
  </si>
  <si>
    <t>3539-Ostatní zdravotnická zařízení a služby pro zdravotnictví</t>
  </si>
  <si>
    <t>550</t>
  </si>
  <si>
    <t>Dětské jesle tř. Spojenců - oprava zděného plotu</t>
  </si>
  <si>
    <t>CELKEM 3539</t>
  </si>
  <si>
    <t>CELKEM ODBOR SOCIÁLNÍCH VĚCÍ</t>
  </si>
  <si>
    <t>ODBOR ŽIVOTNÍHO PROSTŘEDÍ</t>
  </si>
  <si>
    <t>3729-Ostatní nakládání s odpady</t>
  </si>
  <si>
    <t>Areál Chválkovice - demolice haly "C" II. etapa</t>
  </si>
  <si>
    <t>CELKEM 3729</t>
  </si>
  <si>
    <t>CELKEM ODBOR ŽIVOTNÍHO PROSTŘEDÍ</t>
  </si>
  <si>
    <t xml:space="preserve">ODBOR MAJETKOPRÁVNÍ </t>
  </si>
  <si>
    <t>2310-Pitná voda</t>
  </si>
  <si>
    <t>50</t>
  </si>
  <si>
    <t>údržba 50 studní</t>
  </si>
  <si>
    <t>CELKEM 2310</t>
  </si>
  <si>
    <t>490</t>
  </si>
  <si>
    <t>312</t>
  </si>
  <si>
    <t>480</t>
  </si>
  <si>
    <t>odvodnění pozemků, otevřené odpady (dle požadavků KMČ)</t>
  </si>
  <si>
    <t>2333-Úpravy drobných vodních toků</t>
  </si>
  <si>
    <t>710</t>
  </si>
  <si>
    <t>725</t>
  </si>
  <si>
    <t xml:space="preserve">údržba Hamerského náhonu, údržba břehů Adamovky, rybníky, požadavky KMČ
</t>
  </si>
  <si>
    <t>CELKEM 2333</t>
  </si>
  <si>
    <t>3322-Zachování a obnova kulturních památek</t>
  </si>
  <si>
    <t>91</t>
  </si>
  <si>
    <t>450</t>
  </si>
  <si>
    <t xml:space="preserve">Oprava Sochy sv. Floriána - v havarijním stavu
Po schválení bude předáno odb. investic k zajištění. 
</t>
  </si>
  <si>
    <t>CELKEM 3322</t>
  </si>
  <si>
    <t>70</t>
  </si>
  <si>
    <t>80</t>
  </si>
  <si>
    <t>54</t>
  </si>
  <si>
    <t xml:space="preserve">údžba a provoz fontán Venuše, Theimerova, Sv. J. Sarkandera, </t>
  </si>
  <si>
    <t>3329-Ostatní záležitosti ochrany památek a péče o kulturní dědictví</t>
  </si>
  <si>
    <t>500</t>
  </si>
  <si>
    <t>CELKEM 3319</t>
  </si>
  <si>
    <t>Část A:</t>
  </si>
  <si>
    <t>Příloha č. 1</t>
  </si>
  <si>
    <t>Příloha č. 2</t>
  </si>
  <si>
    <t>Příloha č. 5</t>
  </si>
  <si>
    <t>Příloha č. 7</t>
  </si>
  <si>
    <t>Příloha č. 8</t>
  </si>
  <si>
    <t>Příloha č. 10</t>
  </si>
  <si>
    <t>Část B:</t>
  </si>
  <si>
    <t>5171-Opravy a udržování</t>
  </si>
  <si>
    <t>CELKEM 2212</t>
  </si>
  <si>
    <t>II. Čtení 26.11.2012 změna +/-</t>
  </si>
  <si>
    <t>TSMO,a.s. OVS org. 1056 udržování a opravy inform. syst.                     v přednádraž.prost.</t>
  </si>
  <si>
    <t>CELKEM 2229</t>
  </si>
  <si>
    <t>TSMO,a.s. OVS org. 1056 kontrola techn. stavu a údržba veř. hřišť</t>
  </si>
  <si>
    <t>CELKEM OVS ODBOR VNĚJŠÍCH VZTAHŮ A INFORMACÍ</t>
  </si>
  <si>
    <t>OVS ODBOR SPRÁVY</t>
  </si>
  <si>
    <t>566</t>
  </si>
  <si>
    <t>577</t>
  </si>
  <si>
    <t>279</t>
  </si>
  <si>
    <t>335</t>
  </si>
  <si>
    <t>CELKEM NEINVESTIČNÍ PŘÍSPĚVKY A GRANTY - INDIVIDUÁLNÍ PŘÍSLIB</t>
  </si>
  <si>
    <t xml:space="preserve">Rekapitulace příjmů, výdajů a financování </t>
  </si>
  <si>
    <t xml:space="preserve">Příjmy </t>
  </si>
  <si>
    <t xml:space="preserve">Neinvestiční příspěvky a transfery a sportovní zařízení </t>
  </si>
  <si>
    <t>str. 5 - 9</t>
  </si>
  <si>
    <t xml:space="preserve">Členské příspěvky </t>
  </si>
  <si>
    <t xml:space="preserve">Velké opravy  </t>
  </si>
  <si>
    <t>str.11 - 12</t>
  </si>
  <si>
    <t>Plány rozvoje nad 1 mil. Kč</t>
  </si>
  <si>
    <t>str. 13</t>
  </si>
  <si>
    <t xml:space="preserve">Mzdy  MMOl a Městské policie </t>
  </si>
  <si>
    <t>str. 14</t>
  </si>
  <si>
    <t xml:space="preserve">Objednávky veřejných služeb </t>
  </si>
  <si>
    <t>str. 15 - 17</t>
  </si>
  <si>
    <t xml:space="preserve">Příspěvkové organizace </t>
  </si>
  <si>
    <t>str. 18</t>
  </si>
  <si>
    <t xml:space="preserve">Příspěvkové organizace - odbor školství </t>
  </si>
  <si>
    <t>str. 19</t>
  </si>
  <si>
    <t>CELKEM VELKÉ OPRAVY MMOl</t>
  </si>
  <si>
    <t>Schválený rozpočet
 2012</t>
  </si>
  <si>
    <t>Upravený rozpočet              k 30.10.2012</t>
  </si>
  <si>
    <t>Návrh
rozp. 2013</t>
  </si>
  <si>
    <t>Upravený návrh  dle jednání RMO 16.10.2012                    (SR 2012           -5%)</t>
  </si>
  <si>
    <t xml:space="preserve">Návrh rozpočtu 2013 po RMO </t>
  </si>
  <si>
    <t>Příloha č. 11</t>
  </si>
  <si>
    <t>,</t>
  </si>
  <si>
    <t>str. 10</t>
  </si>
  <si>
    <t>1122 - DPPO za obce</t>
  </si>
  <si>
    <t xml:space="preserve">org. 2490 Europe Direct, fond 23 </t>
  </si>
  <si>
    <t>4116 - ÚZ 331 13233 MPSV ČR na projekt "Rozvoj procesu plánování dostupnosti sociálních služeb" - ostatní neinvestiční přijaté transfery ze státního rozpočtu</t>
  </si>
  <si>
    <t>4116 - ÚZ 15065 MŽP ČR pro ZOO Olomouc na program "Příspěvek zoologickým zahradám" - ostatní neinvestiční přijaté transfery ze státního rozpočtu</t>
  </si>
  <si>
    <t>4116 - ÚZ 34352 MK ČR pro: Moravskou filharmonii (845 tis. Kč) a Moravské divadlo (3.735 tis. Kč) - ostatní neinvestiční přijaté transfery ze státního rozpočtu</t>
  </si>
  <si>
    <t>4116 - ÚZ 34053 MK ČR pro KMO na projekt "Centrum elektronických zdrojů" - ostatní neinvestiční přijaté transfery ze státního rozpočtu</t>
  </si>
  <si>
    <t>4116 - ÚZ 27003 MD ČR na zajištění kompatibility agend Centrálního informačního systému - ostatní neinvestiční přijaté transfery ze státního rozpočtu</t>
  </si>
  <si>
    <t>4116 - ÚZ 07001 MO ČR na opravu válečného hřbitova obětí 1. světové války v Olomouci - Černovíře - ostatní neinvestiční přijaté transfery ze státního rozpočtu - limitní účet, fond 55</t>
  </si>
  <si>
    <t>4116 - ÚZ 335 13233 MPSV ČR na projekt "Rozvoj procesu plánování dostupnosti sociálních služeb" - ostatní neinvestiční přijaté transfery ze státního rozpočtu</t>
  </si>
  <si>
    <t>Radnice - oprava střechy- Výměna krytiny a oprava krovu, výměna fatálně poškozených prvků a částí krovu (cca 30%-průzkum probíhá), ošetření krovu, výměna plechové krytiny, nová klempířina. Cena přibližná, bude upřesněna po zpracování DZS a rozpočtu.</t>
  </si>
  <si>
    <t>Hálkova 20, Olomouc - oprava střechy</t>
  </si>
  <si>
    <t>Nový návrh regionservis                    v tis. Kč</t>
  </si>
  <si>
    <t>Návrh rozpočtu 2013                        po jednání Finančního výboru ZMO dne 16.10.2012</t>
  </si>
  <si>
    <t>Příloha č. 3</t>
  </si>
  <si>
    <t>Příloha č. 4</t>
  </si>
  <si>
    <t>4223 - ÚZ 385 87505 na akci "Štítného ul. - rekonstrukce komunikace" - (zpětný doplatek) zvláštní účet, fond 12 - investiční přijaté transfery od regionálních rad</t>
  </si>
  <si>
    <t>CELKEM tř. 4 - PŘIJATÉ DOTACE</t>
  </si>
  <si>
    <t>C E L K E M   P Ř Í J M Y</t>
  </si>
  <si>
    <t xml:space="preserve">Odbor koncepce a rozvoje - komplexní materiál týkající se odvodnění města, odkanalizování a zásobování města vodou včetně technicko-ekonomického vyhodnocení, kdy všechny tyto koncepční materiály spolu souvisí. Dle SOD uzavřené v roce 2012 probíhají dílčí fakturace, z celkové částky  15.732.480,- Kč vyfakturováno v r. 2012 -  5.526.000,- Kč, v r. 2013 - 7.977.480,- Kč, v r. 2014 - 2.229.000,- Kč. V roce 2012 byly finanční prostředky ve výši 5.000.000,- Kč hrazeny z nájemného                MOVO a.s..   </t>
  </si>
  <si>
    <t>Upravený rozpočet               k 30.10.2012</t>
  </si>
  <si>
    <t>Návrh rozpočtu 2013                         po pracovních skupinách</t>
  </si>
  <si>
    <t>200</t>
  </si>
  <si>
    <t>Řádné splátky jistin úvěrů a návratných finančních výpomocí. Pro r. 2013 navýšené o mimořádnou splátku úvěru.</t>
  </si>
  <si>
    <t>Z toho tř. 5 - provoz</t>
  </si>
  <si>
    <t>Odbory</t>
  </si>
  <si>
    <t xml:space="preserve">Z toho tř. 6 - investice                              </t>
  </si>
  <si>
    <t>Investice SNO, a. s.</t>
  </si>
  <si>
    <t>Investice MOVO, a. s.</t>
  </si>
  <si>
    <t>DLE PLATNÉ ROZPOČTOVÉ SKLADBY</t>
  </si>
  <si>
    <t>CELKEM PŘÍJMY tř. 1+2+3+4</t>
  </si>
  <si>
    <t>CELKEM VÝDAJE tř. 5+6</t>
  </si>
  <si>
    <t>CELKEM FINANCOVÁNÍ - tř. 8</t>
  </si>
  <si>
    <t>CELKEM</t>
  </si>
  <si>
    <t>Sumář - odbory MMOl</t>
  </si>
  <si>
    <r>
      <t>Název položky</t>
    </r>
    <r>
      <rPr>
        <sz val="10"/>
        <color indexed="8"/>
        <rFont val="SansSerif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</si>
  <si>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4131 - převody z vlastních fondů hospodářské činnosti </t>
  </si>
  <si>
    <t>4112 - neinvestiční přijaté transfery v rámci souhrnného dotačního vztahu - výkon státní správy</t>
  </si>
  <si>
    <t xml:space="preserve">Poznámka </t>
  </si>
  <si>
    <t xml:space="preserve">provoz  historických kašen 200 tis.,  očištění sochař. výzdoby kašny Jupitera a Neptuna 300 tis.,  drobné opravy a havárie dle požad. KMČ 400 tis. (zvonice Radíkov, socha Sv.Jana Nepomuckého Slavonín, kaple Hejčín, kamenný kříž  Holice)
</t>
  </si>
  <si>
    <t xml:space="preserve">org. 1150 Moravské divadlo Olomouc </t>
  </si>
  <si>
    <t>5399-Ostatní záležitosti bezpečnosti, veřejného pořádku - Program prevence kriminality</t>
  </si>
  <si>
    <t xml:space="preserve">Mzdy - MMOI </t>
  </si>
  <si>
    <t>str. 1</t>
  </si>
  <si>
    <t>str. 2 - 3</t>
  </si>
  <si>
    <t>str. 4</t>
  </si>
  <si>
    <t>460</t>
  </si>
  <si>
    <t>260</t>
  </si>
  <si>
    <t>HCO - provoz Zimního stadionu</t>
  </si>
  <si>
    <t>Schválený rozpočet 2012</t>
  </si>
  <si>
    <t>Upravený rozpočet                        k 30.10.2012</t>
  </si>
  <si>
    <t>Čerpání        říjen 2012</t>
  </si>
  <si>
    <t>Návrh rozpočtu         2013 po pracovních skupinách</t>
  </si>
  <si>
    <t>I.čtení RMO 13.11.2012 změna +/-</t>
  </si>
  <si>
    <t>Poznámka</t>
  </si>
  <si>
    <t>01-kancelář primátora</t>
  </si>
  <si>
    <t>02-odbor investic</t>
  </si>
  <si>
    <t>03-odbor koncepce a rozvoje</t>
  </si>
  <si>
    <t>04-odbor živnostenský</t>
  </si>
  <si>
    <t>3421-Využití volného času dětí a mládeže</t>
  </si>
  <si>
    <t>CELKEM 3421</t>
  </si>
  <si>
    <t>Po RMO 13.11.2012/nový návrh =rozíl +/-                           v tis. Kč</t>
  </si>
  <si>
    <t>II. čtení RMO 26.11.2012 změna +/-</t>
  </si>
  <si>
    <t>Po RMO 13.11.2012             a po aktualizaci dańových příjmů                    k změnám financování obcí                      od 1.1.2013</t>
  </si>
  <si>
    <t>4122 - ÚZ 00008 Olomoucký kraj na zajištění akceschopnosti JSDH obcí - neinvestiční přijaté transfery od krajů</t>
  </si>
  <si>
    <t>4122 - ÚZ 00512 Olomoucký kraj na projekt "Olomouc v kostce" - neinvestiční přijaté transfery od krajů</t>
  </si>
  <si>
    <t>05-odbor ekonomický</t>
  </si>
  <si>
    <t>06-odbor interního auditu a kontroly</t>
  </si>
  <si>
    <t>07-odbor dopravy</t>
  </si>
  <si>
    <t>08-odbor agendy řidičů a motor. vozidel</t>
  </si>
  <si>
    <t>10-stavební odbor</t>
  </si>
  <si>
    <t>11-odbor vnějších vztahů a informací</t>
  </si>
  <si>
    <t>13-odbor informatiky</t>
  </si>
  <si>
    <t>14- odbor školství</t>
  </si>
  <si>
    <t xml:space="preserve">16-odbor sociálních věcí </t>
  </si>
  <si>
    <t>19-odbor správy</t>
  </si>
  <si>
    <t>20-Městská policie</t>
  </si>
  <si>
    <t>40-odbor životního prostředí</t>
  </si>
  <si>
    <t>41-odbor majetkoprávní</t>
  </si>
  <si>
    <t>42-odbor ochrany</t>
  </si>
  <si>
    <t>44-odbor evropských projektů</t>
  </si>
  <si>
    <t>Neinvestiční příspěvky a granty</t>
  </si>
  <si>
    <t>Neinvestiční příspěvky  - sportovní zařízení</t>
  </si>
  <si>
    <t>Členské příspěvky</t>
  </si>
  <si>
    <t>Velké opravy</t>
  </si>
  <si>
    <t>Plány rozvoje</t>
  </si>
  <si>
    <t>Mzdy  - Městská policie</t>
  </si>
  <si>
    <t>Objednávky veřejných služeb</t>
  </si>
  <si>
    <t>70-příspěvkové organizace</t>
  </si>
  <si>
    <t>14 - odbor školství - příspěvkové organizace</t>
  </si>
  <si>
    <t>vrácená DPH</t>
  </si>
  <si>
    <t>TSMO,a.s. OVS org. 10561 správa a provoz pítka P.Malého prince</t>
  </si>
  <si>
    <t>289</t>
  </si>
  <si>
    <t>274</t>
  </si>
  <si>
    <t>TSMO,a.s. OVS org. 10562 údržba vod. ploch rybník Tab., kašna Jalta</t>
  </si>
  <si>
    <t>651</t>
  </si>
  <si>
    <t>TSMO,a.s. OVS org. 10564 údržba odvodňovacího koryta Povelská</t>
  </si>
  <si>
    <t>930</t>
  </si>
  <si>
    <t>882</t>
  </si>
  <si>
    <t>3612-Bytové hospodářství</t>
  </si>
  <si>
    <t>SNO,a.s. OVS org. 1670 obstarávání správy nemovitostí</t>
  </si>
  <si>
    <t>CELKEM 3612</t>
  </si>
  <si>
    <t>CELKEM OVS ODBOR MAJETKOPRÁVNÍ</t>
  </si>
  <si>
    <t>OVS ODBOR OCHRANY</t>
  </si>
  <si>
    <t>19-odbor správy - náklady Hynaisova II.</t>
  </si>
  <si>
    <t xml:space="preserve">TSMO,a.s OVS org. 1056 odstranění následku škod v důsledku mimořádných událostí na území města Olomouc vč. přívalových povodní, údržba zařízení civilní ochrany, údržba vodočtů, údržba přečerpávací stanice Chomoutov 
</t>
  </si>
  <si>
    <t>CELKEM OVS ODBOR OCHRANY</t>
  </si>
  <si>
    <t>CELKEM OBJEDNÁVKY VEŘEJNÝCH SLUŽEB - INDIVIDUÁLNÍ PŘÍSLIB</t>
  </si>
  <si>
    <t>REKAPITULACE:</t>
  </si>
  <si>
    <t>TSMO, a. s. Olomouc</t>
  </si>
  <si>
    <t>Dopravní obslužnost celkem</t>
  </si>
  <si>
    <t xml:space="preserve"> -  DPMO, a. s.</t>
  </si>
  <si>
    <t xml:space="preserve"> - Veolia Transport Morava, a. s.</t>
  </si>
  <si>
    <t xml:space="preserve"> - ostatní</t>
  </si>
  <si>
    <t>FLORA, a, s, Olomouc</t>
  </si>
  <si>
    <t>Správa nemovitostí Olomouc, a. s.</t>
  </si>
  <si>
    <t>CELKEM OBJEDNÁVKY VEŘEJNÝCH SLUŽEB</t>
  </si>
  <si>
    <t>snížení</t>
  </si>
  <si>
    <t>rozdíl návrh 2013 / odb. skupina</t>
  </si>
  <si>
    <t>rozdíl návrh RMO 16.10.2012 / RMO 30.10.2012</t>
  </si>
  <si>
    <t>238</t>
  </si>
  <si>
    <t>652</t>
  </si>
  <si>
    <t>5019-Ostatní platy</t>
  </si>
  <si>
    <t>především refundace mezd</t>
  </si>
  <si>
    <t>5021-Ostatní osobní výdaje</t>
  </si>
  <si>
    <t>odměny členům výboru zastupitelstev a komisí rad obcí a krajů</t>
  </si>
  <si>
    <t>5023-Odměny členů zastupitelstev obcí a krajů</t>
  </si>
  <si>
    <t>odměny čl. zastupitelstev obcí a krajů (vč. uvol. zastup.)</t>
  </si>
  <si>
    <t>5031-Povinné pojistné na sociální zabezpečení a příspěvek na státní politiku zaměstnanosti</t>
  </si>
  <si>
    <t>897</t>
  </si>
  <si>
    <t>Schválený rozpočet 2013</t>
  </si>
  <si>
    <t>povinný odvod 25%</t>
  </si>
  <si>
    <t>5032-Povinné pojistné na veřejné zdravotní pojištění</t>
  </si>
  <si>
    <t>878</t>
  </si>
  <si>
    <t>povinný odvod 9%</t>
  </si>
  <si>
    <t>5038-Povinné pojistné na úrazové pojištění</t>
  </si>
  <si>
    <t>4,2 promile z pol. ze základu pro soc poj.</t>
  </si>
  <si>
    <t>5424-Náhrady mezd v době nemoci</t>
  </si>
  <si>
    <t>náhrada mezd v prvních 21 dnech nemoci dle zák. č. 262/2006 Sb.</t>
  </si>
  <si>
    <t>5011-Platy zaměstnanců v pracovním poměru</t>
  </si>
  <si>
    <t>org. 2490 Europe Direct, fond 23</t>
  </si>
  <si>
    <t>org. 2490 Europe Direct , fond 23</t>
  </si>
  <si>
    <t>Upravený rozpočet k                      30. 10. 2012</t>
  </si>
  <si>
    <t>Skutečné                            plnění k                                               31. 10. 2012</t>
  </si>
  <si>
    <t>%               plnění</t>
  </si>
  <si>
    <t>Návrh rok 2013</t>
  </si>
  <si>
    <t>1111 - daň z příjmů fyzických osob ze závislé činnosti</t>
  </si>
  <si>
    <t>1112 - daň z příjmů fyzických osob ze samostatné výdělečné činnosti</t>
  </si>
  <si>
    <t>1113 - daň z příjmů fyzických osob z kapitálových výnosů</t>
  </si>
  <si>
    <t>1121 - daň z příjmů právnických osob</t>
  </si>
  <si>
    <t>1211 - daň z přidané hodnoty</t>
  </si>
  <si>
    <t>1511 - daň z nemovitosti</t>
  </si>
  <si>
    <t>DANĚ CELKEM</t>
  </si>
  <si>
    <t>1332 - poplatky za znečišťování ovzduší</t>
  </si>
  <si>
    <t>1334 - odvody za odnětí půdy ze zemědělského půdního fondu</t>
  </si>
  <si>
    <t>1341 - poplatek ze psů</t>
  </si>
  <si>
    <t>4333-Domovy-penzióny pro matky s dětmi</t>
  </si>
  <si>
    <t>2</t>
  </si>
  <si>
    <t>roční poplatek Asociace poskytovatelů sociálních služeb ČR</t>
  </si>
  <si>
    <t>4374-Azylové domy, nízkoprahová denní centra a noclehárny</t>
  </si>
  <si>
    <t>členský příspěvek Sdružení azylových domů</t>
  </si>
  <si>
    <t>11</t>
  </si>
  <si>
    <t>ODBOR MAJETKOPRÁVNÍ</t>
  </si>
  <si>
    <t>156</t>
  </si>
  <si>
    <t>117</t>
  </si>
  <si>
    <t>120</t>
  </si>
  <si>
    <t>IP: čl. příspěvek ve Sdružení obcí vodovod Pomoraví ZP 026 (ZBÚ)</t>
  </si>
  <si>
    <t>CELKEM ODBOR MAJETKOPRÁVNÍ</t>
  </si>
  <si>
    <t>3636-Územní rozvoj</t>
  </si>
  <si>
    <t xml:space="preserve">členský příspěvek OK4EU - sdružení právnických osob - zastupování zájmu regionu v institucích EU
</t>
  </si>
  <si>
    <t>CELKEM ČLENSKÉ PŘÍSPĚVKY - INDIVIDUÁLNÍ PŘÍSLIB</t>
  </si>
  <si>
    <t>Upravený rozpočet                k 30.10.2012</t>
  </si>
  <si>
    <t>CELKEM tř. 2 - NEDAŇOVÉ PŘÍJMY</t>
  </si>
  <si>
    <t>4111 - ÚZ 98216 MF ČR na sociálně právní ochranu dětí - neinvestiční přijaté transfery z všeobecné pokladní správy státního rozpočtu</t>
  </si>
  <si>
    <t>4111 - ÚZ 98007 MF ČR na zavedení povinnosti předávání Pomocného analytického přehledu (PAP) - neinvestiční přijaté transfery z všeobecné pokladní správy státního rozpočtu</t>
  </si>
  <si>
    <t>4111 - ÚZ 98008 MF ČR na volby prezidenta ČR - neinvestiční přijaté transfery z všeobecné pokladní správy státního rozpočtu</t>
  </si>
  <si>
    <t>4111 - ÚZ 98193 MF ČR na volby do zastupitelstev krajů a Senátu Parlamentu ČR - neinvestiční přijaté transfery z všeobecné pokladní správy státního rozpočtu</t>
  </si>
  <si>
    <t>4116 - ÚZ 13101 MPSV ČR na aktivní politiku zaměstnanosti - ostatní neinvestiční přijaté transfery ze státního rozpočtu</t>
  </si>
  <si>
    <t>MZDY - MĚSTSKÁ POLICIE</t>
  </si>
  <si>
    <t>celkem 136 pracovníků vč. refundaci do HČ (v tom navýšení počtu strážníků dle schválené koncepce o 2 osoby), zákonné navyšování platů, odměny, přesčasy, příplatky, práce v so, ne, svátek atd.</t>
  </si>
  <si>
    <t>221</t>
  </si>
  <si>
    <t>1351 - odvod z výtěžku z provozování loterií</t>
  </si>
  <si>
    <t>1353 - příjmy za zkoušky z odborné způsobilosti od žadatelů o řidičské oprávnění</t>
  </si>
  <si>
    <t xml:space="preserve">1361 správní poplatky - VHP </t>
  </si>
  <si>
    <t>POPLATKY CELKEM</t>
  </si>
  <si>
    <t>CELKEM tř. 1 - DAŇOVÉ PŘÍJMY</t>
  </si>
  <si>
    <t>2111 -  JESLE - příjmy z poskytování služeb a výrobků</t>
  </si>
  <si>
    <t>2111 - AZYLOVÝ DUM - příjmy z poskytování služeb a výrobků</t>
  </si>
  <si>
    <t>2111 - NOCLEHÁRNA - příjmy z poskytování služeb a výrobků</t>
  </si>
  <si>
    <t>2111 - DOMOV PRO MATKY S DĚTMI - příjmy z poskytování služeb a výrobků</t>
  </si>
  <si>
    <t>2111 - kopírování na veřejné kopírce na Hynaisově ul.  - příjmy z poskytování služeb a výrobků</t>
  </si>
  <si>
    <t>2111 - platby občanů za používání internetu - příjmy z poskytování služeb a výrobků</t>
  </si>
  <si>
    <t>2111 - úhrada Olomouckého kraje (Domov pro ženy a matky s dětmi - poskytování sociálních služeb) - příjmy z poskytování služeb a výrobků</t>
  </si>
  <si>
    <t>2111 - provozní poplatek za svatby (org. 76) - příjmy z poskytování služeb a výrobků</t>
  </si>
  <si>
    <t>rozdíl schvál. Rozpočet 2013-schválený rozpočet 2012</t>
  </si>
  <si>
    <t>CELKEM DIVADLO HUDBY OL.</t>
  </si>
  <si>
    <t>MORAVSKÁ FILHARMONIE OL.</t>
  </si>
  <si>
    <t>3312-Hudební činnost</t>
  </si>
  <si>
    <t>org. 1170 Moravská filharmonie Olomouc</t>
  </si>
  <si>
    <t>CELKEM MORAVSKÁ FILHARMONIE OL.</t>
  </si>
  <si>
    <t>KNIHOVNA MĚSTA OL.</t>
  </si>
  <si>
    <t>3314-Činnosti knihovnické</t>
  </si>
  <si>
    <t>TSMO,a.s. OVS org. 105621 zimní údržba</t>
  </si>
  <si>
    <t>TSMO,a.s. OVS org. 10562 opravy a udržba komunik.</t>
  </si>
  <si>
    <t>TSMO,a.s. OVS org. 10569 mandátní smlouva</t>
  </si>
  <si>
    <t>TSMO,a.s. OVS org. 10563 skládka materiálu</t>
  </si>
  <si>
    <t>TSMO,a.s. OVS org. 10564 podzemní parkoviště</t>
  </si>
  <si>
    <t>473</t>
  </si>
  <si>
    <t>TSMO,a.s. OVS org. 10565 pasport MK</t>
  </si>
  <si>
    <t>TSMO,a.s. OVS org. 10566 rozkopávky MK</t>
  </si>
  <si>
    <t>72</t>
  </si>
  <si>
    <t>TSMO,a.s. OVS org. 10561 výběr parkovného</t>
  </si>
  <si>
    <t>19-odbor správy - Hynaisova II.</t>
  </si>
  <si>
    <t>750</t>
  </si>
  <si>
    <t>3319-Ostatní záležitosti kultury</t>
  </si>
  <si>
    <t>TSMO,a.s. OVS org. 1056 udrž. mobiliáře v přednádraž. prostoru</t>
  </si>
  <si>
    <t>26</t>
  </si>
  <si>
    <t>Přichystalova ul. - fond 48 - po dobu udržitelnosti projektu                (do 31. 08. 2015)</t>
  </si>
  <si>
    <t>603</t>
  </si>
  <si>
    <t>510</t>
  </si>
  <si>
    <t>511</t>
  </si>
  <si>
    <t>TSMO,a.s. OVS org. 1056 údržba veř. WC - bez Pavelčákova, Sokolská ul. údrž. mobiliáře</t>
  </si>
  <si>
    <t>CELKEM OVS ODBOR SPRÁVY</t>
  </si>
  <si>
    <t>OVS ODBOR ŽIVOTNÍHO PROSTŘEDÍ</t>
  </si>
  <si>
    <t>Výstaviště FLORA, a.s. OVS org. 1075 Výstaviště FLORA Ol.</t>
  </si>
  <si>
    <t>3722-Sběr a svoz komunálních odpadů</t>
  </si>
  <si>
    <t>TSMO,a.s. OVS org. 1056 sběr a svoz komunál. odpadů</t>
  </si>
  <si>
    <t>TSMO,a.s. OVS org. 10561 čistota města vč. stát. komunikací</t>
  </si>
  <si>
    <t>CELKEM 3722</t>
  </si>
  <si>
    <t>TSMO,a.s. OVS org. 1056 péče o vzhled obcí a veř. zeleň</t>
  </si>
  <si>
    <t>TSMO,a.s. OVS org. 1057 pasport VZ</t>
  </si>
  <si>
    <t>TSMO,a.s. OVS org. 1056 správa a údržba areálu Chválkovice</t>
  </si>
  <si>
    <t>CELKEM OVS ODBOR ŽIVOTNÍHO PROSTŘEDÍ</t>
  </si>
  <si>
    <t>OVS ODBOR MAJETKOPRÁVNÍ</t>
  </si>
  <si>
    <t>265</t>
  </si>
  <si>
    <t>252</t>
  </si>
  <si>
    <t>TSMO,a.s. OVS org. 1056 správa, provoz a údrž. Arionovy kašny</t>
  </si>
  <si>
    <t>344</t>
  </si>
  <si>
    <t>328</t>
  </si>
  <si>
    <t>TSMO,a.s. OVS org. 1056 údržba a provozování památek,  319 tis. Michalské schody,  25 tis. Památník bojovníků</t>
  </si>
  <si>
    <t>485</t>
  </si>
  <si>
    <t>TSMO,a.s. OVS org. 1056 provozov. fontány a pítek v přednádr. Prostoru</t>
  </si>
  <si>
    <t>Návrh rozpočtu 2013                        po  RMO 30.10.2012</t>
  </si>
  <si>
    <t>I. čtení                13. 11. 2012 změna +/-</t>
  </si>
  <si>
    <t>pomocný výpočet</t>
  </si>
  <si>
    <t>pomocný výpočet   -</t>
  </si>
  <si>
    <t>OVS ODBOR DOPRAVY</t>
  </si>
  <si>
    <t>II. Čtení 26.11.2012 změna -5%           z RMO 13.11.2012</t>
  </si>
  <si>
    <t>15</t>
  </si>
  <si>
    <t>Návrh rozpočtu 2013                          po pracovních skupinách</t>
  </si>
  <si>
    <t xml:space="preserve">NEINV. PŘÍSP. MŠ A ZŠ - PŘÍSPĚVKOVÉ ORGANIZACE </t>
  </si>
  <si>
    <t>5331-Neinvestiční příspěvky zřízeným PO</t>
  </si>
  <si>
    <t>org. 1290 neinv. přísp. MŠ Jílová</t>
  </si>
  <si>
    <t>884</t>
  </si>
  <si>
    <t>867</t>
  </si>
  <si>
    <t>812</t>
  </si>
  <si>
    <t>org. 1300 neinv. přísp. MŠ Škrétova</t>
  </si>
  <si>
    <t>org. 1310 neinv. přísp. MŠ Helsinská</t>
  </si>
  <si>
    <t>org. 1440 neinv. přísp. MŠ Nálepky</t>
  </si>
  <si>
    <t>org. 1450 neinv. přísp. MŠ Žižkovo nám.</t>
  </si>
  <si>
    <t>org. 1460 neinv. přísp. MŠ I. Hermanna</t>
  </si>
  <si>
    <t>org. 1480 neinv. přísp. MŠ Wolkerova</t>
  </si>
  <si>
    <t>org. 1500 neinv. přísp. MŠ Dělnická</t>
  </si>
  <si>
    <t>org. 1520 neinv. přísp. MŠ Michalské strom.</t>
  </si>
  <si>
    <t>org. 1530 neinv. přísp. MŠ Mozartova 6</t>
  </si>
  <si>
    <t>org. 1540 neinv. přísp. MŠ Zeyerova</t>
  </si>
  <si>
    <t>org. 1550 neinv. přísp. MŠ Rooseveltova</t>
  </si>
  <si>
    <t>3113-Základní školy</t>
  </si>
  <si>
    <t>org. 1200 neinv. přísp. ZŠ Heyrovského</t>
  </si>
  <si>
    <t>Nadpis</t>
  </si>
  <si>
    <t>Upravený rozpočet k 30. 10. 2012</t>
  </si>
  <si>
    <t>Návrh rozpočtu           2013</t>
  </si>
  <si>
    <t>Olterm - správa a provoz plav. stadionu</t>
  </si>
  <si>
    <t>Olterm - opravy plaveckého stadionu</t>
  </si>
  <si>
    <t>AQUAPARK OLOMOUC - provozní výdaje</t>
  </si>
  <si>
    <t>CELKEM SPORTOVNÍ ZAŘÍZENÍ</t>
  </si>
  <si>
    <t>org. 1210 neinv. přísp. ZŠ Zeyerova</t>
  </si>
  <si>
    <t>org. 1220 neinv. přísp. ZŠ Stupkova</t>
  </si>
  <si>
    <t>org. 1230 neinv. přísp. ZŠ a MŠ Řezníčkova</t>
  </si>
  <si>
    <t>org. 1240 neinv. přísp. ZŠ tř. Spojenců</t>
  </si>
  <si>
    <t>org. 1250 neinv. přísp. ZŠ a MŠ Demlova</t>
  </si>
  <si>
    <t>org. 1260 neinv. přísp. ZŠ a MŠ Holice</t>
  </si>
  <si>
    <t>org. 1270 neinv. přísp. ZŠ Mozartova</t>
  </si>
  <si>
    <t>org. 1280 neinv. přísp. ZŠ a MŠ Nedvědova</t>
  </si>
  <si>
    <t>org. 1320 neinv. přísp. FZŠ Tererovo nám.</t>
  </si>
  <si>
    <t>org. 1330 neinv. přísp. FZŠ a MŠ Rožňavská (Dr. Milady Horákové)</t>
  </si>
  <si>
    <t>org. 1340 neinv. přísp. FZŠ a MŠ Holečkova</t>
  </si>
  <si>
    <t>org. 1350 neinv. přísp. ZŠ 8. května</t>
  </si>
  <si>
    <t>org. 1360 neinv. přísp. FZŠ Hálkova</t>
  </si>
  <si>
    <t>org. 1370 neinv. přísp. ZŠ a MŠ Svatoplukova</t>
  </si>
  <si>
    <t>org. 1380 neinv. přísp. ZŠ a MŠ Sv. Kopeček (Dvorského)</t>
  </si>
  <si>
    <t>org. 1410 neinv. přísp. ZŠ a MŠ Nemilany</t>
  </si>
  <si>
    <t>org. 1420 neinv. přísp. ZŠ a MŠ Gorkého</t>
  </si>
  <si>
    <t>CELKEM 3113</t>
  </si>
  <si>
    <t>3117-První stupeň základních škol</t>
  </si>
  <si>
    <t>796</t>
  </si>
  <si>
    <t>713</t>
  </si>
  <si>
    <t>org. 1400 neinv. přísp. ZŠ Droždín</t>
  </si>
  <si>
    <t>CELKEM 3117</t>
  </si>
  <si>
    <t xml:space="preserve">CELKEM NEINV. PŘÍSP. MŠ A ZŠ - PŘÍSPĚVKOVÉ ORGANIZACE </t>
  </si>
  <si>
    <t>Upravený rozpočet                      k 30.10.2012</t>
  </si>
  <si>
    <t>Po RMO              13. 11.2012</t>
  </si>
  <si>
    <t>MORAVSKÉ DIVADLO OL.</t>
  </si>
  <si>
    <t>3311-Divadelní činnost</t>
  </si>
  <si>
    <t xml:space="preserve">5331-Neinvestiční příspěvky zřízeným PO </t>
  </si>
  <si>
    <t>CELKEM MORAVSKÉ DIVADLO OL.</t>
  </si>
  <si>
    <t>DIVADLO HUDBY OL.</t>
  </si>
  <si>
    <t>org. 1160 Divadlo hudby Olomouc</t>
  </si>
  <si>
    <t>CELKEM KNIHOVNA MĚSTA OL.</t>
  </si>
  <si>
    <t>HŘBITOVY MĚSTA OL.</t>
  </si>
  <si>
    <t>org. 1650 Hřbitovy města Olomouce</t>
  </si>
  <si>
    <t>CELKEM HŘBITOVY MĚSTA OL.</t>
  </si>
  <si>
    <t>ZOO SV. KOPEČEK OL.</t>
  </si>
  <si>
    <t>3741-Ochrana druhů a stanovišť</t>
  </si>
  <si>
    <t>org. 1077 ZOO Sv. Kopeček Olomouc</t>
  </si>
  <si>
    <t>CELKEM ZOO SV. KOPEČEK OL.</t>
  </si>
  <si>
    <t xml:space="preserve">EIB II. tranže 200 tis. Kč; KB, a.s. 180 tis. Kč </t>
  </si>
  <si>
    <t xml:space="preserve">1355 - odvod z výherních hracích přístrojů </t>
  </si>
  <si>
    <t>2212 - ostatní pokuty - příjaté sankční platby                                                                                                                                                                                                                                                                                                                      odbor školství 2 tis. Kč, odbor správy 669 tis. Kč, odbor sociálních věcí 2 tis. Kč, odbor živnostenský 127 tis. Kč</t>
  </si>
  <si>
    <t>4216 - ÚZ 411 17883 MF ČR na projekt "Spolupráce ZOO Olomouc a ZOO Opole v oblasti cestovního ruchu" - zvláštní € účet, fond 4 - ostatní investiční přijaté trasnsfery ze státního rozpočtu</t>
  </si>
  <si>
    <t>2111 - úhrada Olomouckého kraje (Azylový dům - poskytování sociálních služeb) - příjmy                   z poskytování služeb a výrobků</t>
  </si>
  <si>
    <t>2324 - tržby IDOS od obcí a obchodních center dle smluv - přijaté nekapitálové příspěvky                  a náhrady</t>
  </si>
  <si>
    <t xml:space="preserve">2329 - nahodilé příjmy z minulých let (např. vratky sankcí, uhrazené pohledávky                               od zaměstnanců atd.) - ostatní nedaňové příjmy j. n. </t>
  </si>
  <si>
    <t>1340 - poplatek za provoz systému shromažďování, sběru, přepravy, třídění, využívání                        a odstraňování komunálních odpadů</t>
  </si>
  <si>
    <t>1361 - správní poplatky -  odbor životního prostředí 440 tis. Kč, odbor agendy řidičů                                                a motorových vozidel 10.902 tis. Kč, stavební odbor 1.300 tis. Kč, živnostenský odbor                2.325 tis. Kč; odbor správy 6.440 tis. Kč; ekonomický odbor 5 tis. Kč, ostatní  4.000 tis. Kč</t>
  </si>
  <si>
    <t>2122 - odvody příspěvkových organizací (ZOO Olomouc 746 tis. Kč; Moravské divadlo 10.000 tis. Kč; Divadlo hudby 12 tis. Kč; Moravská filharmonie 493 tis. Kč; Knihovna města Olomouce           373 tis. Kč; Hřbitovy města Olomouce  255 tis. Kč</t>
  </si>
  <si>
    <t xml:space="preserve">TSMO,a.s. OVS org. 10563 údržba povodň. mříže na Nemilance, údržba vodotečí v městských částech.
</t>
  </si>
  <si>
    <t>4116 - ÚZ 22005 MPO ČR na výkon činnosti Jednotných kontaktních míst - ostatní neinvestiční přijaté transfery ze státního rozpočtu</t>
  </si>
  <si>
    <t>4116 - ÚZ 13305 MPSV ČR na realizaci služeb na podporu poskytování sociálních služeb - ostatní neinvestiční přijaté transfery ze státního rozpočtu</t>
  </si>
  <si>
    <t>4116 - ÚZ 545 15374 MŽP ČR na projekt "Rozšíření odděleného sběru BRKO v Olomouci" - zvláštní účet, fond 13 - ostatní neinvestiční přijaté transfery ze státního rozpočtu</t>
  </si>
  <si>
    <t>4116 - ÚZ 34070 MK ČR pro Moravské divadlo na projekt "Divadelní Flora" - ostatní neinvestiční přijaté transfery ze státního rozpočtu</t>
  </si>
  <si>
    <t>4116 ÚZ 29004 Mze ČR na výsadbu minimálního podílu zpevňujících dřevin - ostatní neinvestiční přijaté transfery ze státního rozpočtu</t>
  </si>
  <si>
    <t>56</t>
  </si>
  <si>
    <t>28</t>
  </si>
  <si>
    <t>Asociace veřejných zakázek- příspěvek na členství JUDr. Vačkářové v asociaci.</t>
  </si>
  <si>
    <t>5212-Neinvestiční transfery nefinančním podnikatelským subjektům-fyzickým osobám</t>
  </si>
  <si>
    <t>příspěvek města na obnovu památek v rámci státní dotace z programu regenerace MPR a MPZ</t>
  </si>
  <si>
    <t>5213-Neinvestiční transfery nefinančním podnikatelským subjektům-právnickým osobám</t>
  </si>
  <si>
    <t>dtto</t>
  </si>
  <si>
    <t>5223-Neinvestiční transfery církvím a náboženským společnostem</t>
  </si>
  <si>
    <t>525</t>
  </si>
  <si>
    <t>5225-Neinvestiční transfery společenstvím vlastníků jednotek</t>
  </si>
  <si>
    <t>65</t>
  </si>
  <si>
    <t>ODBOR EKONOMICKÝ</t>
  </si>
  <si>
    <t>5532-Ostatní neinvestiční transfery do zahraničí</t>
  </si>
  <si>
    <t>19</t>
  </si>
  <si>
    <t>ÚZ 415 95113 Úřad města Opole - NF na projekt "Spolupráce ZOO Olomouc a ZOO Opole v oblasti cestovního ruchu", EUR účet, fond 4</t>
  </si>
  <si>
    <t>oprava štítové zdi rodinného domu v souvislosti s demolicí vedl. objektu - výstavba tramvajové trati Nové Sady</t>
  </si>
  <si>
    <t>CELKEM ODBOR EKONOMICKÝ</t>
  </si>
  <si>
    <t>69</t>
  </si>
  <si>
    <t>5222-Neinvestiční transfery občanským sdružením</t>
  </si>
  <si>
    <t>Divadelní FLORA</t>
  </si>
  <si>
    <t>650</t>
  </si>
  <si>
    <t>Kino  METROPOL - provozní náklady (v roce 2012 příspěvek           650 tis. Kč z kulturních grantů)</t>
  </si>
  <si>
    <t>600</t>
  </si>
  <si>
    <t>670</t>
  </si>
  <si>
    <t>Divadlo Tramtárie (vč. kulturních grantů a příspěvků z hazardu činil příspěvek celkem 850 tis. Kč)</t>
  </si>
  <si>
    <t>5332-Neinvestiční transfery vysokým školám</t>
  </si>
  <si>
    <t>Academia film Olomouc (vč. kulturních grantů a příspěvků                   z hazardu činil příspěvek celkem 550 tis. Kč)</t>
  </si>
  <si>
    <t>Svátky písní</t>
  </si>
  <si>
    <t>Podzimní festival duchovní hudby</t>
  </si>
  <si>
    <t>U-klub - provozní náklady</t>
  </si>
  <si>
    <t>5219-Ostatní neinvestiční transfery podnikatelským subjektům</t>
  </si>
  <si>
    <t>Kašpárkova říše - provozní náklady</t>
  </si>
  <si>
    <t>5331-Neinvestiční příspěvky zřízeným příspěvkovým organizacím</t>
  </si>
  <si>
    <t>Dvořákova Olomouc</t>
  </si>
  <si>
    <t>Žerotín - provozní náklady</t>
  </si>
  <si>
    <t>Jazz TIBET CLUB - provozní náklady (vč. kulturních grantů                a příspěvků z hazardu činil příspěvek celkem 300 tis. Kč)</t>
  </si>
  <si>
    <t>180</t>
  </si>
  <si>
    <t>Festival Baroko</t>
  </si>
  <si>
    <t>Varhanní festival</t>
  </si>
  <si>
    <t>Konfederace politických vězňů</t>
  </si>
  <si>
    <t>Pastiche Filmz - provozní náklady  (v roce 2012 příspěvek               250 tis. Kč z kulturních grantů a příspěvků z hazardu)</t>
  </si>
  <si>
    <t>Stopy paměti - provozní náklady  (v roce 2012 příspěvek 180 tis. Kč z kulturních grantů a příspěvků z hazardu)</t>
  </si>
  <si>
    <t>Divadlo Na Cucky - provozní náklady  (v roce 2012 příspěvek               150 tis. Kč z kulturních grantů a příspěvků z hazardu)</t>
  </si>
  <si>
    <t>60</t>
  </si>
  <si>
    <t>Bounty rok cafe club - provozní náklady (v roce 2012 příspěvek               250 tis. Kč z kulturních grantů a příspěvků z hazardu)</t>
  </si>
  <si>
    <t>S-cube -provozní náklady  (v roce 2012 příspěvek 150 tis. Kč                                  z kulturních grantů a příspěvků z hazardu)</t>
  </si>
  <si>
    <t>kulturní granty, org. 301</t>
  </si>
  <si>
    <t>85</t>
  </si>
  <si>
    <t>55</t>
  </si>
  <si>
    <t xml:space="preserve">org. 1 </t>
  </si>
  <si>
    <t>90</t>
  </si>
  <si>
    <t>org. 1 Bojové sporty Olomouc-příspěvek na činnost</t>
  </si>
  <si>
    <t xml:space="preserve">org. 1 Box klub Gambare-podpora a rozšíření celoroční sportovní činnosti </t>
  </si>
  <si>
    <t>98</t>
  </si>
  <si>
    <t>org. 1 CYKLO 2000 Kaňkovský-celoroční činnost mládežnického oddílu</t>
  </si>
  <si>
    <t>org. 1 ČLTK 1928 Olomouc-rozvoj tenisu ve městě Olomouci</t>
  </si>
  <si>
    <t>135</t>
  </si>
  <si>
    <t>org. 1 Figure skating club Olomouc-zabezpečení sportovní přípravy závodníků krasobruslařského klubu FSC Olomouc</t>
  </si>
  <si>
    <t>188</t>
  </si>
  <si>
    <t>org. 1 GOLF CLUB Olomouc-podpora celoroční sportovní činnosti</t>
  </si>
  <si>
    <t>128</t>
  </si>
  <si>
    <t>org. 1 Kanoistický klub Olomouc-celoroční podpora činnosti klubu</t>
  </si>
  <si>
    <t>162</t>
  </si>
  <si>
    <t>112</t>
  </si>
  <si>
    <t>org. 1 Klub sportovních potápěčů Olomouc-celoroční sportovní a výcviková činnost</t>
  </si>
  <si>
    <t>org. 1 MGC Olomouc (minigolf)</t>
  </si>
  <si>
    <t>org. 1 Regionální sdružení ČSTV se sídlem v Olomouci</t>
  </si>
  <si>
    <t>org. 1 SK SKIVELO Neslyšících Olomouc-zabezpečení sportovní činnosti zdravotně postižených neslyšících sportovců na rok 2011</t>
  </si>
  <si>
    <t>990</t>
  </si>
  <si>
    <t>org. 1 Sportovní klub Olomouc Sigma Moravské železárny-zabezpečení činnosti mládežnických družstev fotbalu, oddílu baseballu a ostatních oddílů klubu</t>
  </si>
  <si>
    <t>890</t>
  </si>
  <si>
    <t>org. 1 Sportovní klub UP Olomouc-podpora celoroční sportovní činnosti</t>
  </si>
  <si>
    <t>105</t>
  </si>
  <si>
    <t>org. 1 TJ Sokol Olomouc - Chválkovice</t>
  </si>
  <si>
    <t>org. 1 Tělovýchovná jednota Lokomotiva Olomouc</t>
  </si>
  <si>
    <t>195</t>
  </si>
  <si>
    <t>org. 1 TJ DUKLA Olomouc</t>
  </si>
  <si>
    <t>org. 1 TJ Lodní sporty Olomouc</t>
  </si>
  <si>
    <t>315</t>
  </si>
  <si>
    <t>org. 1 TJ MILO Olomouc</t>
  </si>
  <si>
    <t>532</t>
  </si>
  <si>
    <t>org. 1 TJ STM Olomouc-mužská házená</t>
  </si>
  <si>
    <t>32</t>
  </si>
  <si>
    <t>org. 1 TTC REGION Olomouc-extraliga a evropské poháry ve stolním tenisu</t>
  </si>
  <si>
    <t>org. 1 Veslařský klub Olomouc</t>
  </si>
  <si>
    <t>org. 1 RC Lokomotiva Olomouc</t>
  </si>
  <si>
    <t>org. 1 JUDO KLUB Olomouc</t>
  </si>
  <si>
    <t>org. 1 KARATE CLUB MABU-DO Olomouc</t>
  </si>
  <si>
    <t>82</t>
  </si>
  <si>
    <t>org. 1 1. FC Olomouc</t>
  </si>
  <si>
    <t xml:space="preserve">org. 1 FBS Olomouc o. s. </t>
  </si>
  <si>
    <t>org. 1 FK Nemilany</t>
  </si>
  <si>
    <t>org. 1 Hanácký kuželkářský klub o. s.</t>
  </si>
  <si>
    <t>org. 1 OSK Klubko Olomouc</t>
  </si>
  <si>
    <t>org. 1 TJ Sokol Olomouc - Neředín</t>
  </si>
  <si>
    <t>org. 1 TJ Sokol Olomouc - Nové Sady</t>
  </si>
  <si>
    <t>org. 1 TJ Sokol Slavonín</t>
  </si>
  <si>
    <t>org. 1 Neinvestiční transfery vysokým školám</t>
  </si>
  <si>
    <t>org. 1 TJ Sokol Chomoutov</t>
  </si>
  <si>
    <t>HCO - mládež o. s.</t>
  </si>
  <si>
    <t xml:space="preserve">HCO Olomouc, s. r. o. - vrcholový hokej </t>
  </si>
  <si>
    <t>1. HFK Olomouc</t>
  </si>
  <si>
    <t>SK UP Olomouc - volejbal žen</t>
  </si>
  <si>
    <t>Atletický klub Olomouc</t>
  </si>
  <si>
    <t>DHK Zora Olomouc - házená žen</t>
  </si>
  <si>
    <t>SK UP Olomouc - oddíl kanoistiky</t>
  </si>
  <si>
    <t>GEMO SPORT a. s. - příspěvek na ITS Cup 2013</t>
  </si>
  <si>
    <t>PIM - olomoucký 1/2 maraton</t>
  </si>
  <si>
    <t>RS ČSTV - uspořádání slavnostního vyhlášení nejlepších  sportovců Ol. regionu za rok 2012</t>
  </si>
  <si>
    <t>40</t>
  </si>
  <si>
    <t>Rok s pohybem - uspořádání kurzů lyžování pro MŠ, ZŠ Spec. školy</t>
  </si>
  <si>
    <t>20</t>
  </si>
  <si>
    <t>TJ Sokol Slavonín - částečná úhrada mezd správce</t>
  </si>
  <si>
    <t>Český svaz cyklistiky - ME v cyklistice</t>
  </si>
  <si>
    <t>sportovní granty, org. 1</t>
  </si>
  <si>
    <t>org. 250  Kostel Panny Marie Sněžné</t>
  </si>
  <si>
    <t>14</t>
  </si>
  <si>
    <t>org. 250  Chrám sv. Michala + Sarkandrova kaple</t>
  </si>
  <si>
    <t>140</t>
  </si>
  <si>
    <t>Bartoň a Partner, s. r. o. - příspěvek na provoz WC Pavelčákova ul.</t>
  </si>
  <si>
    <t>org. 250  Chrám sv. Mořice + Sloup Nejsvětější Trojice</t>
  </si>
  <si>
    <t>org. 250  Katedrála sv. Václava</t>
  </si>
  <si>
    <t>470</t>
  </si>
  <si>
    <t>zpřístupnění kostelů v turistické sezóně</t>
  </si>
  <si>
    <t>36</t>
  </si>
  <si>
    <t>org. 250 Dominikánský kostel</t>
  </si>
  <si>
    <t>185</t>
  </si>
  <si>
    <t xml:space="preserve">org. 251 PEŘEJ tours s. r. o. </t>
  </si>
  <si>
    <t>org. 251 T. S. Bohemia a. s.</t>
  </si>
  <si>
    <t>org. 251</t>
  </si>
  <si>
    <t>granty v oblasti CR</t>
  </si>
  <si>
    <t>75</t>
  </si>
  <si>
    <t xml:space="preserve">org. 251 </t>
  </si>
  <si>
    <t>org. 251 Pevnostní město Olomouc</t>
  </si>
  <si>
    <t>pokračování projektu "Olomouc Region Card"  - správa systému</t>
  </si>
  <si>
    <t>3211-Činnost vysokých škol</t>
  </si>
  <si>
    <t>10</t>
  </si>
  <si>
    <t>org. 300 UP Olomouc</t>
  </si>
  <si>
    <t>CELKEM 3211</t>
  </si>
  <si>
    <t>3291-Mezinárodní spolupráce ve vzdělávání</t>
  </si>
  <si>
    <t xml:space="preserve">org. 300 Markéta Kreizingerová, f. o. </t>
  </si>
  <si>
    <t>CELKEM 3291</t>
  </si>
  <si>
    <t>3299-Ostatní záležitosti vzdělávání</t>
  </si>
  <si>
    <t>org. 300 Olomoucké centrum otevřeného vzdělávání, o.s.</t>
  </si>
  <si>
    <t>CELKEM 3299</t>
  </si>
  <si>
    <t>3319-Ostatní záležitosti kultury - org. 300</t>
  </si>
  <si>
    <t>org. 300  Agentura pro kulturu a vzdělávání Čermáková, f.o.</t>
  </si>
  <si>
    <t>org. 300 Pravoslavná církevní obec v Olomouci</t>
  </si>
  <si>
    <t>org. 300  Slovanské gymnázium Olomouc</t>
  </si>
  <si>
    <t>org. 300  Výstaviště Flora, a. s.</t>
  </si>
  <si>
    <t xml:space="preserve">org. 300 Antonín Tesař, f.o. </t>
  </si>
  <si>
    <t>org. 300 Asociace debatních klubů Ol. kraje, o. s.</t>
  </si>
  <si>
    <t>org. 300 ČSCH ZO Olomouc, o. s.</t>
  </si>
  <si>
    <t>org. 300 Gymnázium Hejčín</t>
  </si>
  <si>
    <t>org. 300 Ing. Ladislav Dobeš, f. o. - Hanácké slavnosti 2011</t>
  </si>
  <si>
    <t>org. 300 Jakub Krištof, f. o.</t>
  </si>
  <si>
    <t>org. 300 Libor Gašparovič, Agentura Galia, f. o.</t>
  </si>
  <si>
    <t>org. 300 Marie Rudolfová, f. o. - Přehlídka národopisných souborů s mezinár. účastí 2011</t>
  </si>
  <si>
    <t>org. 300 Matice svatokopecká</t>
  </si>
  <si>
    <t>org. 300 NB Trade, s.r.o.</t>
  </si>
  <si>
    <t>45</t>
  </si>
  <si>
    <t>org. 300 Římskokatolická farnost Olomouc - Hodolany, práv. osoba</t>
  </si>
  <si>
    <t>org. 300 T.S. Bohemia, a.s.</t>
  </si>
  <si>
    <t>5339-Neinvestiční transfery cizím příspěvkovým organizacím</t>
  </si>
  <si>
    <t>org. 300 Základní umělecká škola "Žerotín" Olomouc, p.o.</t>
  </si>
  <si>
    <t>org. 300 Jiří Doležel, osvč</t>
  </si>
  <si>
    <t>org. 300 Omnis Olomouc, a.s.</t>
  </si>
  <si>
    <t>org. 300 Elpida, o.p.s.</t>
  </si>
  <si>
    <t>org. 300 Náboženská obec Církve československé husitské v Olomouci - Hodolanech</t>
  </si>
  <si>
    <t>org. 300 Sbor dobrovolných hasičů v Ol. - Radíkově</t>
  </si>
  <si>
    <t xml:space="preserve">org. 300 Sbor dobrovolných hasičů v Ol. - město </t>
  </si>
  <si>
    <t xml:space="preserve">org. 300 M.O.S.T. , o.s. </t>
  </si>
  <si>
    <t>org. 300 Rostislav Kuchař, f.o.</t>
  </si>
  <si>
    <t>org. 300 Eurobabička, o.s.</t>
  </si>
  <si>
    <t>org. 300 Junker Tomáš, f.o.</t>
  </si>
  <si>
    <t>org. 300 Nadační fond Gaudeamus</t>
  </si>
  <si>
    <t>org. 300 Židovská obec Olomouc</t>
  </si>
  <si>
    <t>org. 300 ČMMJ Okresní myslivecký spolek</t>
  </si>
  <si>
    <t>org. 300 František Všetička, f.o.</t>
  </si>
  <si>
    <t>org. 300 Miroslav Nopp, OSVČ - Ol. Swingband</t>
  </si>
  <si>
    <t>org. 300 Olomoucká agentura s.r.o.</t>
  </si>
  <si>
    <t xml:space="preserve">org. 300 OLGK, o.s. </t>
  </si>
  <si>
    <t xml:space="preserve">org. 300 Člověk v tísni, o.p.s. </t>
  </si>
  <si>
    <t xml:space="preserve">org. 300 Ensemble Damian </t>
  </si>
  <si>
    <t>org. 300 UVUO, o. s.</t>
  </si>
  <si>
    <t>org. 300 Zbyněk Kundrum, f.o.</t>
  </si>
  <si>
    <t>org. 300 Prof. RNDr. Milan Kotouček,  CSc.</t>
  </si>
  <si>
    <t>org. 300 Ing. Martin Látal - Poslechové studio Morfeus</t>
  </si>
  <si>
    <t>org. 300 Nadační fond Správná cesta životem</t>
  </si>
  <si>
    <t>org. 300 Nadace Malý Noe</t>
  </si>
  <si>
    <t>org. 300 Friendly a Loyal s.r.o.</t>
  </si>
  <si>
    <t xml:space="preserve">org. 300 Dušan Horňák - Blacksouls promotion, f.o. </t>
  </si>
  <si>
    <t>109</t>
  </si>
  <si>
    <t>org. 300 Divadlo Konvikt, o.s.</t>
  </si>
  <si>
    <t>org. 300 Ing. Martin Fitřík, o.s.</t>
  </si>
  <si>
    <t>org. 300 Ing. Katuše Zahradníčková - VOOR KUNST a TAAL, f.o.</t>
  </si>
  <si>
    <t xml:space="preserve">org. 300 Jan Jílek - JF Show agency, f.o. </t>
  </si>
  <si>
    <t>org. 300 Prof. PhDr. Jan Vičar, CSc., f.o.</t>
  </si>
  <si>
    <t>org. 300 Mgr. Pavel Bednařík</t>
  </si>
  <si>
    <t xml:space="preserve">org. 300 Stopy paměti, o.s. </t>
  </si>
  <si>
    <t>org. 300 Martin Mikloš, osvč</t>
  </si>
  <si>
    <t xml:space="preserve">org. 300 Čeněk Šopek, f.o. </t>
  </si>
  <si>
    <t>org. 300 Kristýna Erbenová, f.o.</t>
  </si>
  <si>
    <t>org. 300 Galerie Mona Lisa, OSVČ</t>
  </si>
  <si>
    <t>org. 300 TyfloCentrum Olomouc, o.p.s.</t>
  </si>
  <si>
    <t>org. 300 Hudební Institut, 701 o.s.</t>
  </si>
  <si>
    <t xml:space="preserve">org. 300 Muzeum Olomoucké pevnosti, o.s. </t>
  </si>
  <si>
    <t>org. 300 Komorní pěvecký spolek Dvořák, o.s.</t>
  </si>
  <si>
    <t>org. 300 Neziskové sdružení Primavesi</t>
  </si>
  <si>
    <t>org. 300 Jan Hlavsa, f.o.</t>
  </si>
  <si>
    <t>org. 300 Hvězdárna Olomouc,o.s.</t>
  </si>
  <si>
    <t>org. 300 Spolek pro komorní hudbu při MFO, o.s.</t>
  </si>
  <si>
    <t>org. 300 Studio Experiment, o.s.</t>
  </si>
  <si>
    <t>org. 300 Římskokatolická akademická farnost Olomouc, práv. osoba</t>
  </si>
  <si>
    <t>org. 300 Okresní hospodářská komora Olomouc</t>
  </si>
  <si>
    <t>org. 300 Disco Dance - sportovní tanec mladých</t>
  </si>
  <si>
    <t>org. 300 Retrospektiva - Zdeněk Vacek</t>
  </si>
  <si>
    <t>org. 300 MD Olomouc - Staré pověsti české</t>
  </si>
  <si>
    <t>org. 300 Mezinárodní festival Divadelní Flora</t>
  </si>
  <si>
    <t>org. 300 Galerie U Mloka</t>
  </si>
  <si>
    <t>org. 300 Hanácká dechovka Olomouc, MCM vánoce 2012</t>
  </si>
  <si>
    <t>org. 300</t>
  </si>
  <si>
    <t>3419-Ostatní tělovýchovná činnost - org. 300</t>
  </si>
  <si>
    <t>org. 300  Sportclub Agentura 64 Olomouc, o. s.</t>
  </si>
  <si>
    <t>org. 300 1. FC Olomouc, o. s.</t>
  </si>
  <si>
    <t>17</t>
  </si>
  <si>
    <t>org. 300 Český radioklub - Hanácký RADIOKLUB OK2KYJ</t>
  </si>
  <si>
    <t>org. 300 RCSPV Olomouc, o.s.</t>
  </si>
  <si>
    <t>org. 300 FK Nemilany, o. s.</t>
  </si>
  <si>
    <t>org. 300 Okresní fotbalový svaz Ol.</t>
  </si>
  <si>
    <t>org. 300 Kulový blesk, o. s., Pavel Konečný</t>
  </si>
  <si>
    <t>org. 300 Smash Gym Kickbox, o. s.</t>
  </si>
  <si>
    <t>org. 300 HIGBIC, s.r.o.</t>
  </si>
  <si>
    <t>org. 300 SH ČMS Okresní sdružení hasičů Olomouc</t>
  </si>
  <si>
    <t>\</t>
  </si>
  <si>
    <t>org. 300 Hanácký paraklub o.s.</t>
  </si>
  <si>
    <t>org. 300 Středomorav. klub automobilistů a motocyklistů Ol. - histor. voz.</t>
  </si>
  <si>
    <t>org. 300 Marie Salavcová</t>
  </si>
  <si>
    <t>org. 300 Český svaz chovatelů koní Kisberi, o.s.</t>
  </si>
  <si>
    <t>org. 300 SH ČMS Hanácký okrsek</t>
  </si>
  <si>
    <t>org. 300 Sportovní klub městské policie Olomouc, o.s.</t>
  </si>
  <si>
    <t xml:space="preserve">org. 300 SK SAM, nezisková org. </t>
  </si>
  <si>
    <t>org. 300 Česká asociace stolního tenisu, o.s.</t>
  </si>
  <si>
    <t>org. 300 Přirozenou cestou, s.r.o.</t>
  </si>
  <si>
    <t>org. 300 Eva Kacanů, f.o.</t>
  </si>
  <si>
    <t>49</t>
  </si>
  <si>
    <t>org. 300 MGC OLOMOUC, o.s.</t>
  </si>
  <si>
    <t xml:space="preserve">org. 300 Vladimír Marčan, f.o. </t>
  </si>
  <si>
    <t xml:space="preserve">org. 300 Junák - stř. Jana Boska, o. s. </t>
  </si>
  <si>
    <t>754</t>
  </si>
  <si>
    <t>654</t>
  </si>
  <si>
    <t>3429-Ostatní zájmová činnost a rekreace</t>
  </si>
  <si>
    <t xml:space="preserve">org. 300  Zdenka Kubová, f. o.     Tuning meeting </t>
  </si>
  <si>
    <t>CELKEM 3429</t>
  </si>
  <si>
    <t>3521-Fakultní nemocnice</t>
  </si>
  <si>
    <t xml:space="preserve">org. 300 Fakultní nemocnice Ol. , přísp. org. </t>
  </si>
  <si>
    <t>CELKEM 3521</t>
  </si>
  <si>
    <t>ODBOR ŠKOLSTVÍ</t>
  </si>
  <si>
    <t>org. 2 neinv. transf. nefinanč. podnik. subj.-práv. osobám</t>
  </si>
  <si>
    <t>3114-Speciální základní školy</t>
  </si>
  <si>
    <t>8</t>
  </si>
  <si>
    <t>org. 2  oblast příspěvků do 5 tis. Kč</t>
  </si>
  <si>
    <t>org. 2 neinv. transf. cizím přísp. org.</t>
  </si>
  <si>
    <t>3121-Gymnázia</t>
  </si>
  <si>
    <t>3122-Střední odborné školy</t>
  </si>
  <si>
    <t xml:space="preserve">org. 2 </t>
  </si>
  <si>
    <t>3231-Základní umělecké školy</t>
  </si>
  <si>
    <t>22</t>
  </si>
  <si>
    <t>3399-Ostatní záležitosti kultury, církví a sdělovacích prostředků</t>
  </si>
  <si>
    <t>79</t>
  </si>
  <si>
    <t>102</t>
  </si>
  <si>
    <t>4322-Ústavy péče pro mládež</t>
  </si>
  <si>
    <t>5512-Požární ochrana - dobrovolná část</t>
  </si>
  <si>
    <t>org. 3</t>
  </si>
  <si>
    <t xml:space="preserve">org. 3 </t>
  </si>
  <si>
    <t>13</t>
  </si>
  <si>
    <t>437</t>
  </si>
  <si>
    <t>291</t>
  </si>
  <si>
    <t>111</t>
  </si>
  <si>
    <t>27</t>
  </si>
  <si>
    <t>org. 4 Česko Britská Mezinárodní škola a Mateřská škola s. r. o., Olomouc - projekt Cambridge International School</t>
  </si>
  <si>
    <t>3315-Činnosti muzeí a galerií</t>
  </si>
  <si>
    <t>org. 4 Muzeum umění Olomouc - projekt "Olomouc - barokní metropole střední Evropy"</t>
  </si>
  <si>
    <t>org. 4</t>
  </si>
  <si>
    <t>org. 300 Církevní gymnazium Německého řádu, s. r. o.</t>
  </si>
  <si>
    <t>org. 300 UP  Olomouc, v. v. š.</t>
  </si>
  <si>
    <t>org. 300 Dům dětí a mládeže, p. o.</t>
  </si>
  <si>
    <t>neinv. přísp. MŠ jiných zřizovatelů</t>
  </si>
  <si>
    <t xml:space="preserve">MŠ Sluníčko, o. p. s. </t>
  </si>
  <si>
    <t>MŠ jazyková a umělecká, Petelinova, Ol.</t>
  </si>
  <si>
    <t>str. 1 - 21</t>
  </si>
  <si>
    <t xml:space="preserve">Plán investic na rok 2013 </t>
  </si>
  <si>
    <t>MŠ 1. olomoucká sportovní s. r. o. - neinv. přísp. MŠ jiných zřizovatelů</t>
  </si>
  <si>
    <t>Církevní mateřská škola Ovečka - příspěvek na provoz</t>
  </si>
  <si>
    <t>Česko Britská Mezinárodní a Mateřská škola, s. r. o.</t>
  </si>
  <si>
    <t>Zdravá anglická mateřská škola, s. r. o.</t>
  </si>
  <si>
    <t>Moravská vysoká škola</t>
  </si>
  <si>
    <t>oprava kostela s. Cyrila a Metoděje</t>
  </si>
  <si>
    <t xml:space="preserve">Kapucínský kostel na Dolním náměstí </t>
  </si>
  <si>
    <t>příspěvky do 5.000,- Kč</t>
  </si>
  <si>
    <t xml:space="preserve">granty využití volného času dětí a mládeže </t>
  </si>
  <si>
    <t>příspěvky příspěvkovým org. MŠ a ZŠ</t>
  </si>
  <si>
    <t>4342-Sociální péče a pomoc přistěhovalcům a vybraným etnikům</t>
  </si>
  <si>
    <t>PPK - program prevence kriminality</t>
  </si>
  <si>
    <t>PPK - Společenství Romů na Moravě, o.s.</t>
  </si>
  <si>
    <t>CELKEM 4342</t>
  </si>
  <si>
    <t>PPK - Charita Olomouc - projekt "Komunitní centrum"</t>
  </si>
  <si>
    <t>CELKEM 4359</t>
  </si>
  <si>
    <t>4375-Nízkoprahová zařízení pro děti a mládež</t>
  </si>
  <si>
    <t>PPK - Podané ruce, o.s.</t>
  </si>
  <si>
    <t>PPK - Pro Vás, o.s.</t>
  </si>
  <si>
    <t>CELKEM 4375</t>
  </si>
  <si>
    <t>4376-Služby následné péče, terapeutické komunity a kontaktní centra</t>
  </si>
  <si>
    <t>CELKEM 4376</t>
  </si>
  <si>
    <t>4378-Terénní programy</t>
  </si>
  <si>
    <t>39</t>
  </si>
  <si>
    <t>PPK - Sdružení SPES,o.s.</t>
  </si>
  <si>
    <t>CELKEM 4378</t>
  </si>
  <si>
    <t>99</t>
  </si>
  <si>
    <t>4379-Ostatní služby a činnosti v oblasti sociální prevence</t>
  </si>
  <si>
    <t>PPK - Kamil Kopecký</t>
  </si>
  <si>
    <t>68</t>
  </si>
  <si>
    <t>PPK- Člověk v tísni, o.p.s.</t>
  </si>
  <si>
    <t>PPK - Sdružení SPES, o.s.</t>
  </si>
  <si>
    <t>PPK - Charita Olomouc</t>
  </si>
  <si>
    <t>PPK - Sdružení D, o.s.</t>
  </si>
  <si>
    <t>PPK - JIKA, o.s.</t>
  </si>
  <si>
    <t>430</t>
  </si>
  <si>
    <t>PPK - P-centrum, o.s.</t>
  </si>
  <si>
    <t>CELKEM 4379</t>
  </si>
  <si>
    <t>943</t>
  </si>
  <si>
    <t>893</t>
  </si>
  <si>
    <t>PPK- Kamil Kopecký</t>
  </si>
  <si>
    <t>CELKEM 5311</t>
  </si>
  <si>
    <t>5399-Ostatní záležitosti bezpečnosti, veřejného pořádku</t>
  </si>
  <si>
    <t>5901-Nespecifikované rezervy</t>
  </si>
  <si>
    <t>program prevence kriminality - obecná položka - podíl města</t>
  </si>
  <si>
    <t>905</t>
  </si>
  <si>
    <t>org. 354 příspěvky dle rozhodnutí RMO - příspěvky subjektům v oblasti sociální</t>
  </si>
  <si>
    <t>org. 356 příspěvky v soc. oblasti - podpora projektů dle RMO</t>
  </si>
  <si>
    <t>org. 1 příspěvky na bezbar. úpravy dle RMO - příspěvky subjektům v oblasti bezbariérových úprav objektů, které nejsou v majetku města</t>
  </si>
  <si>
    <t xml:space="preserve">Charita Olomouc - ordinace pro bezdomovce </t>
  </si>
  <si>
    <t xml:space="preserve">Hospic Sv. Kopeček </t>
  </si>
  <si>
    <t>org. 354 Karel Ťulpa, f.o.</t>
  </si>
  <si>
    <t>110</t>
  </si>
  <si>
    <t>org. 354 Člověk v tísni, o.p.s</t>
  </si>
  <si>
    <t>330</t>
  </si>
  <si>
    <t>org. 354 TyfloCentrum, o.p.s.</t>
  </si>
  <si>
    <t>301</t>
  </si>
  <si>
    <t>145</t>
  </si>
  <si>
    <t>org. 354 Tyfloservis, o.p.s.</t>
  </si>
  <si>
    <t>646</t>
  </si>
  <si>
    <t>org. 354 Maltézská pomoc, o.p.s.</t>
  </si>
  <si>
    <t>org. 354 ISIS o.s. pro pomoc náhradním rodinám</t>
  </si>
  <si>
    <t>org. 354 Heřmánci, o.s.</t>
  </si>
  <si>
    <t>org. 354 Pro Vás, o.s.</t>
  </si>
  <si>
    <t>505</t>
  </si>
  <si>
    <t>375</t>
  </si>
  <si>
    <t>org. 354 Spolek Trend vozíčkářů Ol. , o.s.</t>
  </si>
  <si>
    <t>381</t>
  </si>
  <si>
    <t>org. 354 Oblastní unie neslyšících, o.s.</t>
  </si>
  <si>
    <t>210</t>
  </si>
  <si>
    <t>org. 354 InternetPoradna.cz, o.s.</t>
  </si>
  <si>
    <t>org. 354 Středisko rané péče SPRP, o.s. , Střední Novosadská</t>
  </si>
  <si>
    <t>420</t>
  </si>
  <si>
    <t>org. 354 Jitro-sdružení rodičů a přátel postiž. dětí, o.s.</t>
  </si>
  <si>
    <t>org. 354 Amelie, o.s.</t>
  </si>
  <si>
    <t>org. 354 Středisko rané péče SPRP, o.s.  U Botanické zahr.,Regionální centrum</t>
  </si>
  <si>
    <t>66</t>
  </si>
  <si>
    <t>org. 354 JIKA - olomoucké dobrovolnické centrum, o.s.</t>
  </si>
  <si>
    <t>org. 354 Jdeme autistům naproti Ol. o.s.</t>
  </si>
  <si>
    <t>589</t>
  </si>
  <si>
    <t>org. 354 SPOLU Olomouc, o.s.</t>
  </si>
  <si>
    <t>org. 354 DC 90, o.s.</t>
  </si>
  <si>
    <t>83</t>
  </si>
  <si>
    <t>org. 354 Společnost pro podporu lidí s mentál. postiž. ČR, o.s.</t>
  </si>
  <si>
    <t>org. 354 Mana, o.s.</t>
  </si>
  <si>
    <t>280</t>
  </si>
  <si>
    <t>230</t>
  </si>
  <si>
    <t>org. 354 Pamatováček, o.s.</t>
  </si>
  <si>
    <t>340</t>
  </si>
  <si>
    <t>org. 354 Podané ruce, o.s.</t>
  </si>
  <si>
    <t>307</t>
  </si>
  <si>
    <t>org. 354 P-centrum, o.s.</t>
  </si>
  <si>
    <t>org. 354 Slezská diakonie, o.s.</t>
  </si>
  <si>
    <t>org. 354 Kongregace sester premonstrátek-Sv. Kopeček</t>
  </si>
  <si>
    <t>org. 354 Charita Olomouc</t>
  </si>
  <si>
    <t>org. 356 Tyflocentrum Olomouc, o. p. s.</t>
  </si>
  <si>
    <t>348</t>
  </si>
  <si>
    <t>Charita Olomouc - příspěvek na provoz noclehány    Wurmova ul.</t>
  </si>
  <si>
    <t>CELKEM 4359, 4374</t>
  </si>
  <si>
    <t>TSMO,a.s.</t>
  </si>
  <si>
    <t>3792-Ekologická výchova a osvěta</t>
  </si>
  <si>
    <t xml:space="preserve">IP: Sluňákov, o. p. s. - příspěvek na činnost </t>
  </si>
  <si>
    <t>6321-Investiční transfery obecně prospěšným společnostem</t>
  </si>
  <si>
    <t>IP: Sluňákov, o. p. s. - příspěvek na údržbu a opravy ekologického domu Sluňákov (majetek města)</t>
  </si>
  <si>
    <t>3799-Ostatní ekologické záležitosti</t>
  </si>
  <si>
    <t>167</t>
  </si>
  <si>
    <t>IP veřejná finanční podpora v oblasti tvorby a ochrany ŽP</t>
  </si>
  <si>
    <r>
      <t>CELKEM 3799 -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sumární částka v oblasti tvorby a ochrany ŽP</t>
    </r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</si>
</sst>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0.00"/>
    <numFmt numFmtId="165" formatCode="#,##0_ ;[Red]\-#,##0\ "/>
    <numFmt numFmtId="166" formatCode="#,##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dd\.mm\.yyyy"/>
    <numFmt numFmtId="176" formatCode="#,##0.00_ ;\-#,##0.00\ "/>
    <numFmt numFmtId="177" formatCode="_-* #,##0\ _K_č_-;\-* #,##0\ _K_č_-;_-* &quot;-&quot;??\ _K_č_-;_-@_-"/>
    <numFmt numFmtId="178" formatCode="d/m/yy"/>
    <numFmt numFmtId="179" formatCode="#,##0\ _K_č"/>
    <numFmt numFmtId="180" formatCode="#\ ###\ ###\ ###"/>
    <numFmt numFmtId="181" formatCode="d/m\."/>
    <numFmt numFmtId="182" formatCode="#,##0.000"/>
    <numFmt numFmtId="183" formatCode="#,##0\ &quot;Kč&quot;"/>
    <numFmt numFmtId="184" formatCode="#,##0_ ;\-#,##0\ "/>
    <numFmt numFmtId="185" formatCode="_-* #,##0.0\ _K_č_-;\-* #,##0.0\ _K_č_-;_-* &quot;-&quot;??\ _K_č_-;_-@_-"/>
    <numFmt numFmtId="186" formatCode="0.0"/>
    <numFmt numFmtId="187" formatCode="#,##0.0000"/>
    <numFmt numFmtId="188" formatCode="#,##0.00000"/>
    <numFmt numFmtId="189" formatCode="&quot;Kč&quot;#,##0_);\(&quot;Kč&quot;#,##0\)"/>
    <numFmt numFmtId="190" formatCode="&quot;Kč&quot;#,##0_);[Red]\(&quot;Kč&quot;#,##0\)"/>
    <numFmt numFmtId="191" formatCode="&quot;Kč&quot;#,##0.00_);\(&quot;Kč&quot;#,##0.00\)"/>
    <numFmt numFmtId="192" formatCode="&quot;Kč&quot;#,##0.00_);[Red]\(&quot;Kč&quot;#,##0.00\)"/>
    <numFmt numFmtId="193" formatCode="_(&quot;Kč&quot;* #,##0_);_(&quot;Kč&quot;* \(#,##0\);_(&quot;Kč&quot;* &quot;-&quot;_);_(@_)"/>
    <numFmt numFmtId="194" formatCode="_(&quot;Kč&quot;* #,##0.00_);_(&quot;Kč&quot;* \(#,##0.00\);_(&quot;Kč&quot;* &quot;-&quot;??_);_(@_)"/>
    <numFmt numFmtId="195" formatCode="0;[Red]0"/>
    <numFmt numFmtId="196" formatCode="#,##0.000000"/>
    <numFmt numFmtId="197" formatCode="#,##0.0000000"/>
    <numFmt numFmtId="198" formatCode="0.0%"/>
    <numFmt numFmtId="199" formatCode="0_ ;[Red]\-0\ "/>
    <numFmt numFmtId="200" formatCode="000\ 00"/>
    <numFmt numFmtId="201" formatCode="#.##0,"/>
    <numFmt numFmtId="202" formatCode="#.##00,"/>
    <numFmt numFmtId="203" formatCode="#.##,"/>
    <numFmt numFmtId="204" formatCode="#.#,"/>
    <numFmt numFmtId="205" formatCode="#,"/>
    <numFmt numFmtId="206" formatCode="#,###,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.000\ _K_č_-;\-* #,##0.000\ _K_č_-;_-* &quot;-&quot;??\ _K_č_-;_-@_-"/>
    <numFmt numFmtId="211" formatCode="#,##0.0_ ;\-#,##0.0\ "/>
    <numFmt numFmtId="212" formatCode="#,##0,\x"/>
    <numFmt numFmtId="213" formatCode="#,##0.00\ _K_č"/>
    <numFmt numFmtId="214" formatCode="#,##0\ &quot;kr&quot;;\-#,##0\ &quot;kr&quot;"/>
    <numFmt numFmtId="215" formatCode="#,##0\ &quot;kr&quot;;[Red]\-#,##0\ &quot;kr&quot;"/>
    <numFmt numFmtId="216" formatCode="#,##0.00\ &quot;kr&quot;;\-#,##0.00\ &quot;kr&quot;"/>
    <numFmt numFmtId="217" formatCode="#,##0.00\ &quot;kr&quot;;[Red]\-#,##0.00\ &quot;kr&quot;"/>
    <numFmt numFmtId="218" formatCode="_-* #,##0\ &quot;kr&quot;_-;\-* #,##0\ &quot;kr&quot;_-;_-* &quot;-&quot;\ &quot;kr&quot;_-;_-@_-"/>
    <numFmt numFmtId="219" formatCode="_-* #,##0\ _k_r_-;\-* #,##0\ _k_r_-;_-* &quot;-&quot;\ _k_r_-;_-@_-"/>
    <numFmt numFmtId="220" formatCode="_-* #,##0.00\ &quot;kr&quot;_-;\-* #,##0.00\ &quot;kr&quot;_-;_-* &quot;-&quot;??\ &quot;kr&quot;_-;_-@_-"/>
    <numFmt numFmtId="221" formatCode="_-* #,##0.00\ _k_r_-;\-* #,##0.00\ _k_r_-;_-* &quot;-&quot;??\ _k_r_-;_-@_-"/>
    <numFmt numFmtId="222" formatCode="[$-405]d\.\ mmmm\ yyyy"/>
    <numFmt numFmtId="223" formatCode="#,##0.00\ &quot;Kč&quot;"/>
    <numFmt numFmtId="224" formatCode="0.000000%"/>
    <numFmt numFmtId="225" formatCode="0.E+00"/>
  </numFmts>
  <fonts count="43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sz val="8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SansSerif"/>
      <family val="0"/>
    </font>
    <font>
      <b/>
      <sz val="8"/>
      <color indexed="8"/>
      <name val="SansSerif"/>
      <family val="0"/>
    </font>
    <font>
      <b/>
      <sz val="9"/>
      <color indexed="8"/>
      <name val="SansSerif"/>
      <family val="0"/>
    </font>
    <font>
      <sz val="8"/>
      <name val="SansSerif"/>
      <family val="0"/>
    </font>
    <font>
      <b/>
      <sz val="8.5"/>
      <name val="MS Sans Serif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SansSerif"/>
      <family val="0"/>
    </font>
    <font>
      <b/>
      <sz val="12"/>
      <color indexed="8"/>
      <name val="Arial"/>
      <family val="2"/>
    </font>
    <font>
      <b/>
      <u val="single"/>
      <sz val="11"/>
      <name val="Arial"/>
      <family val="2"/>
    </font>
    <font>
      <sz val="10"/>
      <name val="Sans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400">
    <xf numFmtId="0" fontId="0" fillId="0" borderId="0" xfId="0" applyAlignment="1">
      <alignment/>
    </xf>
    <xf numFmtId="0" fontId="3" fillId="24" borderId="0" xfId="48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4" fillId="24" borderId="10" xfId="48" applyFont="1" applyFill="1" applyBorder="1" applyAlignment="1" applyProtection="1">
      <alignment horizontal="left" vertical="center" wrapText="1"/>
      <protection/>
    </xf>
    <xf numFmtId="3" fontId="3" fillId="19" borderId="11" xfId="48" applyNumberFormat="1" applyFont="1" applyFill="1" applyBorder="1" applyAlignment="1" applyProtection="1">
      <alignment horizontal="left" vertical="center" wrapText="1"/>
      <protection/>
    </xf>
    <xf numFmtId="0" fontId="1" fillId="7" borderId="12" xfId="51" applyFont="1" applyFill="1" applyBorder="1" applyAlignment="1" applyProtection="1">
      <alignment horizontal="center" vertical="center" wrapText="1"/>
      <protection/>
    </xf>
    <xf numFmtId="0" fontId="0" fillId="0" borderId="0" xfId="51">
      <alignment/>
      <protection/>
    </xf>
    <xf numFmtId="0" fontId="3" fillId="24" borderId="0" xfId="51" applyFont="1" applyFill="1" applyBorder="1" applyAlignment="1" applyProtection="1">
      <alignment horizontal="left" vertical="top" wrapText="1"/>
      <protection/>
    </xf>
    <xf numFmtId="0" fontId="3" fillId="24" borderId="13" xfId="51" applyFont="1" applyFill="1" applyBorder="1" applyAlignment="1" applyProtection="1">
      <alignment vertical="top" wrapText="1"/>
      <protection/>
    </xf>
    <xf numFmtId="3" fontId="0" fillId="0" borderId="0" xfId="51" applyNumberFormat="1">
      <alignment/>
      <protection/>
    </xf>
    <xf numFmtId="0" fontId="0" fillId="0" borderId="0" xfId="51" applyFont="1">
      <alignment/>
      <protection/>
    </xf>
    <xf numFmtId="0" fontId="3" fillId="19" borderId="14" xfId="51" applyFont="1" applyFill="1" applyBorder="1" applyAlignment="1" applyProtection="1">
      <alignment vertical="top" wrapText="1"/>
      <protection/>
    </xf>
    <xf numFmtId="3" fontId="0" fillId="0" borderId="0" xfId="51" applyNumberFormat="1" applyFont="1">
      <alignment/>
      <protection/>
    </xf>
    <xf numFmtId="3" fontId="0" fillId="0" borderId="14" xfId="51" applyNumberFormat="1" applyFont="1" applyBorder="1">
      <alignment/>
      <protection/>
    </xf>
    <xf numFmtId="0" fontId="8" fillId="24" borderId="10" xfId="51" applyFont="1" applyFill="1" applyBorder="1" applyAlignment="1" applyProtection="1">
      <alignment horizontal="left" vertical="center" wrapText="1"/>
      <protection/>
    </xf>
    <xf numFmtId="3" fontId="0" fillId="24" borderId="15" xfId="51" applyNumberFormat="1" applyFont="1" applyFill="1" applyBorder="1" applyAlignment="1" applyProtection="1">
      <alignment horizontal="right" vertical="center" wrapText="1"/>
      <protection/>
    </xf>
    <xf numFmtId="3" fontId="0" fillId="24" borderId="11" xfId="51" applyNumberFormat="1" applyFont="1" applyFill="1" applyBorder="1" applyAlignment="1" applyProtection="1">
      <alignment horizontal="right" vertical="center" wrapText="1"/>
      <protection/>
    </xf>
    <xf numFmtId="0" fontId="0" fillId="24" borderId="16" xfId="51" applyFont="1" applyFill="1" applyBorder="1" applyAlignment="1" applyProtection="1">
      <alignment horizontal="left" vertical="center" wrapText="1"/>
      <protection/>
    </xf>
    <xf numFmtId="3" fontId="0" fillId="24" borderId="17" xfId="51" applyNumberFormat="1" applyFont="1" applyFill="1" applyBorder="1" applyAlignment="1" applyProtection="1">
      <alignment horizontal="right" vertical="center" wrapText="1"/>
      <protection/>
    </xf>
    <xf numFmtId="3" fontId="0" fillId="24" borderId="14" xfId="51" applyNumberFormat="1" applyFont="1" applyFill="1" applyBorder="1" applyAlignment="1" applyProtection="1">
      <alignment horizontal="right" vertical="center" wrapText="1"/>
      <protection/>
    </xf>
    <xf numFmtId="3" fontId="0" fillId="0" borderId="11" xfId="51" applyNumberFormat="1" applyFont="1" applyFill="1" applyBorder="1" applyAlignment="1" applyProtection="1">
      <alignment horizontal="right" vertical="center" wrapText="1"/>
      <protection/>
    </xf>
    <xf numFmtId="3" fontId="0" fillId="19" borderId="15" xfId="51" applyNumberFormat="1" applyFont="1" applyFill="1" applyBorder="1" applyAlignment="1" applyProtection="1">
      <alignment horizontal="right" vertical="center" wrapText="1"/>
      <protection/>
    </xf>
    <xf numFmtId="3" fontId="0" fillId="19" borderId="11" xfId="51" applyNumberFormat="1" applyFont="1" applyFill="1" applyBorder="1" applyAlignment="1" applyProtection="1">
      <alignment horizontal="right" vertical="center" wrapText="1"/>
      <protection/>
    </xf>
    <xf numFmtId="0" fontId="0" fillId="19" borderId="16" xfId="51" applyFont="1" applyFill="1" applyBorder="1" applyAlignment="1" applyProtection="1">
      <alignment horizontal="left" vertical="center" wrapText="1"/>
      <protection/>
    </xf>
    <xf numFmtId="3" fontId="0" fillId="19" borderId="14" xfId="51" applyNumberFormat="1" applyFont="1" applyFill="1" applyBorder="1" applyAlignment="1" applyProtection="1">
      <alignment horizontal="right" vertical="center" wrapText="1"/>
      <protection/>
    </xf>
    <xf numFmtId="0" fontId="9" fillId="24" borderId="16" xfId="51" applyFont="1" applyFill="1" applyBorder="1" applyAlignment="1" applyProtection="1">
      <alignment horizontal="left" vertical="center" wrapText="1"/>
      <protection/>
    </xf>
    <xf numFmtId="3" fontId="0" fillId="19" borderId="17" xfId="51" applyNumberFormat="1" applyFont="1" applyFill="1" applyBorder="1" applyAlignment="1" applyProtection="1">
      <alignment horizontal="right" vertical="center" wrapText="1"/>
      <protection/>
    </xf>
    <xf numFmtId="3" fontId="4" fillId="19" borderId="15" xfId="51" applyNumberFormat="1" applyFont="1" applyFill="1" applyBorder="1" applyAlignment="1" applyProtection="1">
      <alignment horizontal="right" vertical="center" wrapText="1"/>
      <protection/>
    </xf>
    <xf numFmtId="3" fontId="8" fillId="19" borderId="15" xfId="51" applyNumberFormat="1" applyFont="1" applyFill="1" applyBorder="1" applyAlignment="1" applyProtection="1">
      <alignment horizontal="right" vertical="center" wrapText="1"/>
      <protection/>
    </xf>
    <xf numFmtId="3" fontId="8" fillId="19" borderId="11" xfId="51" applyNumberFormat="1" applyFont="1" applyFill="1" applyBorder="1" applyAlignment="1" applyProtection="1">
      <alignment horizontal="right" vertical="center" wrapText="1"/>
      <protection/>
    </xf>
    <xf numFmtId="0" fontId="3" fillId="19" borderId="16" xfId="51" applyFont="1" applyFill="1" applyBorder="1" applyAlignment="1" applyProtection="1">
      <alignment horizontal="left" vertical="center" wrapText="1"/>
      <protection/>
    </xf>
    <xf numFmtId="3" fontId="3" fillId="19" borderId="15" xfId="51" applyNumberFormat="1" applyFont="1" applyFill="1" applyBorder="1" applyAlignment="1" applyProtection="1">
      <alignment horizontal="right" vertical="center" wrapText="1"/>
      <protection/>
    </xf>
    <xf numFmtId="3" fontId="10" fillId="0" borderId="0" xfId="52" applyNumberFormat="1" applyFont="1">
      <alignment/>
      <protection/>
    </xf>
    <xf numFmtId="3" fontId="0" fillId="0" borderId="0" xfId="52" applyNumberFormat="1">
      <alignment/>
      <protection/>
    </xf>
    <xf numFmtId="3" fontId="8" fillId="0" borderId="14" xfId="51" applyNumberFormat="1" applyFont="1" applyBorder="1" applyAlignment="1">
      <alignment horizontal="right"/>
      <protection/>
    </xf>
    <xf numFmtId="3" fontId="12" fillId="0" borderId="0" xfId="48" applyNumberFormat="1" applyFont="1" applyFill="1" applyBorder="1" applyAlignment="1">
      <alignment vertical="center" wrapText="1"/>
      <protection/>
    </xf>
    <xf numFmtId="3" fontId="12" fillId="0" borderId="0" xfId="48" applyNumberFormat="1" applyFont="1" applyFill="1" applyBorder="1" applyAlignment="1">
      <alignment horizontal="right" vertical="center" wrapText="1"/>
      <protection/>
    </xf>
    <xf numFmtId="3" fontId="8" fillId="0" borderId="18" xfId="52" applyNumberFormat="1" applyFont="1" applyBorder="1" applyAlignment="1">
      <alignment horizontal="left"/>
      <protection/>
    </xf>
    <xf numFmtId="3" fontId="8" fillId="0" borderId="19" xfId="52" applyNumberFormat="1" applyFont="1" applyBorder="1" applyAlignment="1">
      <alignment horizontal="left"/>
      <protection/>
    </xf>
    <xf numFmtId="3" fontId="8" fillId="0" borderId="20" xfId="52" applyNumberFormat="1" applyFont="1" applyBorder="1" applyAlignment="1">
      <alignment horizontal="right"/>
      <protection/>
    </xf>
    <xf numFmtId="3" fontId="0" fillId="0" borderId="20" xfId="52" applyNumberFormat="1" applyBorder="1">
      <alignment/>
      <protection/>
    </xf>
    <xf numFmtId="3" fontId="0" fillId="0" borderId="0" xfId="52" applyNumberFormat="1" applyFill="1" applyBorder="1">
      <alignment/>
      <protection/>
    </xf>
    <xf numFmtId="3" fontId="0" fillId="0" borderId="21" xfId="52" applyNumberFormat="1" applyBorder="1">
      <alignment/>
      <protection/>
    </xf>
    <xf numFmtId="3" fontId="0" fillId="0" borderId="0" xfId="52" applyNumberFormat="1" applyBorder="1">
      <alignment/>
      <protection/>
    </xf>
    <xf numFmtId="3" fontId="0" fillId="0" borderId="22" xfId="52" applyNumberFormat="1" applyBorder="1" applyAlignment="1">
      <alignment horizontal="right"/>
      <protection/>
    </xf>
    <xf numFmtId="3" fontId="0" fillId="0" borderId="22" xfId="52" applyNumberFormat="1" applyBorder="1">
      <alignment/>
      <protection/>
    </xf>
    <xf numFmtId="3" fontId="0" fillId="0" borderId="0" xfId="52" applyNumberFormat="1" applyFill="1" applyBorder="1" applyAlignment="1">
      <alignment/>
      <protection/>
    </xf>
    <xf numFmtId="3" fontId="8" fillId="0" borderId="23" xfId="52" applyNumberFormat="1" applyFont="1" applyBorder="1">
      <alignment/>
      <protection/>
    </xf>
    <xf numFmtId="3" fontId="0" fillId="0" borderId="24" xfId="52" applyNumberFormat="1" applyBorder="1">
      <alignment/>
      <protection/>
    </xf>
    <xf numFmtId="3" fontId="8" fillId="0" borderId="14" xfId="52" applyNumberFormat="1" applyFont="1" applyBorder="1" applyAlignment="1">
      <alignment horizontal="right"/>
      <protection/>
    </xf>
    <xf numFmtId="3" fontId="0" fillId="0" borderId="14" xfId="52" applyNumberFormat="1" applyBorder="1">
      <alignment/>
      <protection/>
    </xf>
    <xf numFmtId="3" fontId="8" fillId="0" borderId="25" xfId="52" applyNumberFormat="1" applyFont="1" applyBorder="1">
      <alignment/>
      <protection/>
    </xf>
    <xf numFmtId="3" fontId="0" fillId="0" borderId="26" xfId="52" applyNumberFormat="1" applyBorder="1">
      <alignment/>
      <protection/>
    </xf>
    <xf numFmtId="3" fontId="8" fillId="0" borderId="27" xfId="52" applyNumberFormat="1" applyFont="1" applyBorder="1" applyAlignment="1">
      <alignment horizontal="right"/>
      <protection/>
    </xf>
    <xf numFmtId="3" fontId="0" fillId="0" borderId="27" xfId="52" applyNumberFormat="1" applyBorder="1">
      <alignment/>
      <protection/>
    </xf>
    <xf numFmtId="3" fontId="11" fillId="25" borderId="14" xfId="48" applyNumberFormat="1" applyFont="1" applyFill="1" applyBorder="1" applyAlignment="1">
      <alignment horizontal="right" vertical="center" wrapText="1"/>
      <protection/>
    </xf>
    <xf numFmtId="3" fontId="11" fillId="25" borderId="14" xfId="48" applyNumberFormat="1" applyFont="1" applyFill="1" applyBorder="1" applyAlignment="1">
      <alignment vertical="center" wrapText="1"/>
      <protection/>
    </xf>
    <xf numFmtId="3" fontId="11" fillId="0" borderId="0" xfId="48" applyNumberFormat="1" applyFont="1" applyFill="1" applyBorder="1" applyAlignment="1">
      <alignment vertical="center" wrapText="1"/>
      <protection/>
    </xf>
    <xf numFmtId="3" fontId="11" fillId="0" borderId="0" xfId="48" applyNumberFormat="1" applyFont="1" applyFill="1" applyBorder="1" applyAlignment="1">
      <alignment horizontal="right" vertical="center" wrapText="1"/>
      <protection/>
    </xf>
    <xf numFmtId="3" fontId="0" fillId="0" borderId="0" xfId="51" applyNumberFormat="1" applyAlignment="1">
      <alignment wrapText="1"/>
      <protection/>
    </xf>
    <xf numFmtId="0" fontId="3" fillId="24" borderId="0" xfId="55" applyFont="1" applyFill="1" applyBorder="1" applyAlignment="1" applyProtection="1">
      <alignment horizontal="left" vertical="top" wrapText="1"/>
      <protection/>
    </xf>
    <xf numFmtId="0" fontId="1" fillId="24" borderId="14" xfId="55" applyFont="1" applyFill="1" applyBorder="1" applyAlignment="1" applyProtection="1">
      <alignment horizontal="center" vertical="center" wrapText="1"/>
      <protection/>
    </xf>
    <xf numFmtId="0" fontId="0" fillId="0" borderId="0" xfId="55">
      <alignment/>
      <protection/>
    </xf>
    <xf numFmtId="3" fontId="3" fillId="24" borderId="14" xfId="55" applyNumberFormat="1" applyFont="1" applyFill="1" applyBorder="1" applyAlignment="1" applyProtection="1">
      <alignment horizontal="right" vertical="center" wrapText="1"/>
      <protection/>
    </xf>
    <xf numFmtId="0" fontId="3" fillId="24" borderId="14" xfId="55" applyFont="1" applyFill="1" applyBorder="1" applyAlignment="1" applyProtection="1">
      <alignment horizontal="left" vertical="center" wrapText="1"/>
      <protection/>
    </xf>
    <xf numFmtId="0" fontId="4" fillId="25" borderId="14" xfId="55" applyFont="1" applyFill="1" applyBorder="1" applyAlignment="1" applyProtection="1">
      <alignment horizontal="left" vertical="center" wrapText="1"/>
      <protection/>
    </xf>
    <xf numFmtId="3" fontId="4" fillId="25" borderId="14" xfId="55" applyNumberFormat="1" applyFont="1" applyFill="1" applyBorder="1" applyAlignment="1" applyProtection="1">
      <alignment horizontal="right" vertical="center" wrapText="1"/>
      <protection/>
    </xf>
    <xf numFmtId="3" fontId="3" fillId="7" borderId="15" xfId="48" applyNumberFormat="1" applyFont="1" applyFill="1" applyBorder="1" applyAlignment="1" applyProtection="1">
      <alignment horizontal="right" vertical="center" wrapText="1"/>
      <protection/>
    </xf>
    <xf numFmtId="3" fontId="4" fillId="19" borderId="15" xfId="48" applyNumberFormat="1" applyFont="1" applyFill="1" applyBorder="1" applyAlignment="1" applyProtection="1">
      <alignment horizontal="right" vertical="center" wrapText="1"/>
      <protection/>
    </xf>
    <xf numFmtId="3" fontId="3" fillId="19" borderId="15" xfId="48" applyNumberFormat="1" applyFont="1" applyFill="1" applyBorder="1" applyAlignment="1" applyProtection="1">
      <alignment horizontal="right" vertical="center" wrapText="1"/>
      <protection/>
    </xf>
    <xf numFmtId="3" fontId="4" fillId="19" borderId="15" xfId="48" applyNumberFormat="1" applyFont="1" applyFill="1" applyBorder="1" applyAlignment="1" applyProtection="1">
      <alignment horizontal="right" vertical="center" wrapText="1"/>
      <protection/>
    </xf>
    <xf numFmtId="0" fontId="11" fillId="25" borderId="14" xfId="53" applyFont="1" applyFill="1" applyBorder="1" applyAlignment="1">
      <alignment horizontal="center" vertical="center" wrapText="1"/>
      <protection/>
    </xf>
    <xf numFmtId="0" fontId="8" fillId="25" borderId="14" xfId="53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12" fillId="24" borderId="15" xfId="53" applyFont="1" applyFill="1" applyBorder="1" applyAlignment="1">
      <alignment horizontal="left" vertical="center" wrapText="1"/>
      <protection/>
    </xf>
    <xf numFmtId="3" fontId="12" fillId="24" borderId="15" xfId="53" applyNumberFormat="1" applyFont="1" applyFill="1" applyBorder="1" applyAlignment="1">
      <alignment horizontal="right" vertical="center" wrapText="1"/>
      <protection/>
    </xf>
    <xf numFmtId="3" fontId="12" fillId="24" borderId="11" xfId="53" applyNumberFormat="1" applyFont="1" applyFill="1" applyBorder="1" applyAlignment="1">
      <alignment horizontal="right" vertical="center" wrapText="1"/>
      <protection/>
    </xf>
    <xf numFmtId="3" fontId="12" fillId="24" borderId="23" xfId="53" applyNumberFormat="1" applyFont="1" applyFill="1" applyBorder="1" applyAlignment="1">
      <alignment horizontal="right" vertical="center" wrapText="1"/>
      <protection/>
    </xf>
    <xf numFmtId="3" fontId="0" fillId="0" borderId="23" xfId="53" applyNumberFormat="1" applyBorder="1">
      <alignment/>
      <protection/>
    </xf>
    <xf numFmtId="0" fontId="0" fillId="0" borderId="14" xfId="53" applyBorder="1">
      <alignment/>
      <protection/>
    </xf>
    <xf numFmtId="0" fontId="0" fillId="0" borderId="0" xfId="53" applyFill="1">
      <alignment/>
      <protection/>
    </xf>
    <xf numFmtId="0" fontId="0" fillId="25" borderId="14" xfId="53" applyFill="1" applyBorder="1">
      <alignment/>
      <protection/>
    </xf>
    <xf numFmtId="0" fontId="12" fillId="24" borderId="17" xfId="53" applyFont="1" applyFill="1" applyBorder="1" applyAlignment="1">
      <alignment horizontal="left" vertical="center" wrapText="1"/>
      <protection/>
    </xf>
    <xf numFmtId="3" fontId="12" fillId="24" borderId="28" xfId="53" applyNumberFormat="1" applyFont="1" applyFill="1" applyBorder="1" applyAlignment="1">
      <alignment horizontal="right" vertical="center" wrapText="1"/>
      <protection/>
    </xf>
    <xf numFmtId="3" fontId="12" fillId="24" borderId="17" xfId="53" applyNumberFormat="1" applyFont="1" applyFill="1" applyBorder="1" applyAlignment="1">
      <alignment horizontal="right" vertical="center" wrapText="1"/>
      <protection/>
    </xf>
    <xf numFmtId="3" fontId="12" fillId="24" borderId="25" xfId="53" applyNumberFormat="1" applyFont="1" applyFill="1" applyBorder="1" applyAlignment="1">
      <alignment horizontal="right" vertical="center" wrapText="1"/>
      <protection/>
    </xf>
    <xf numFmtId="4" fontId="0" fillId="0" borderId="0" xfId="53" applyNumberFormat="1">
      <alignment/>
      <protection/>
    </xf>
    <xf numFmtId="3" fontId="12" fillId="24" borderId="29" xfId="53" applyNumberFormat="1" applyFont="1" applyFill="1" applyBorder="1" applyAlignment="1">
      <alignment horizontal="right" vertical="center" wrapText="1"/>
      <protection/>
    </xf>
    <xf numFmtId="3" fontId="12" fillId="24" borderId="30" xfId="53" applyNumberFormat="1" applyFont="1" applyFill="1" applyBorder="1" applyAlignment="1">
      <alignment horizontal="right" vertical="center" wrapText="1"/>
      <protection/>
    </xf>
    <xf numFmtId="3" fontId="0" fillId="0" borderId="0" xfId="53" applyNumberFormat="1" applyFont="1" applyBorder="1" applyAlignment="1">
      <alignment/>
      <protection/>
    </xf>
    <xf numFmtId="3" fontId="0" fillId="0" borderId="0" xfId="53" applyNumberFormat="1">
      <alignment/>
      <protection/>
    </xf>
    <xf numFmtId="0" fontId="11" fillId="25" borderId="15" xfId="53" applyFont="1" applyFill="1" applyBorder="1" applyAlignment="1">
      <alignment horizontal="left" vertical="center" wrapText="1"/>
      <protection/>
    </xf>
    <xf numFmtId="3" fontId="11" fillId="25" borderId="14" xfId="53" applyNumberFormat="1" applyFont="1" applyFill="1" applyBorder="1" applyAlignment="1">
      <alignment horizontal="right" vertical="center" wrapText="1"/>
      <protection/>
    </xf>
    <xf numFmtId="3" fontId="11" fillId="25" borderId="23" xfId="53" applyNumberFormat="1" applyFont="1" applyFill="1" applyBorder="1" applyAlignment="1">
      <alignment horizontal="right" vertical="center" wrapText="1"/>
      <protection/>
    </xf>
    <xf numFmtId="4" fontId="0" fillId="0" borderId="14" xfId="53" applyNumberFormat="1" applyBorder="1">
      <alignment/>
      <protection/>
    </xf>
    <xf numFmtId="3" fontId="11" fillId="25" borderId="15" xfId="53" applyNumberFormat="1" applyFont="1" applyFill="1" applyBorder="1" applyAlignment="1">
      <alignment horizontal="right" vertical="center" wrapText="1"/>
      <protection/>
    </xf>
    <xf numFmtId="3" fontId="12" fillId="24" borderId="14" xfId="53" applyNumberFormat="1" applyFont="1" applyFill="1" applyBorder="1" applyAlignment="1">
      <alignment horizontal="left" vertical="top" wrapText="1"/>
      <protection/>
    </xf>
    <xf numFmtId="3" fontId="11" fillId="25" borderId="25" xfId="53" applyNumberFormat="1" applyFont="1" applyFill="1" applyBorder="1" applyAlignment="1">
      <alignment horizontal="right" vertical="center" wrapText="1"/>
      <protection/>
    </xf>
    <xf numFmtId="0" fontId="0" fillId="0" borderId="15" xfId="53" applyBorder="1">
      <alignment/>
      <protection/>
    </xf>
    <xf numFmtId="3" fontId="12" fillId="24" borderId="31" xfId="53" applyNumberFormat="1" applyFont="1" applyFill="1" applyBorder="1" applyAlignment="1">
      <alignment horizontal="right" vertical="center" wrapText="1"/>
      <protection/>
    </xf>
    <xf numFmtId="0" fontId="0" fillId="0" borderId="0" xfId="53" applyBorder="1">
      <alignment/>
      <protection/>
    </xf>
    <xf numFmtId="0" fontId="11" fillId="25" borderId="14" xfId="53" applyFont="1" applyFill="1" applyBorder="1" applyAlignment="1">
      <alignment horizontal="left" vertical="center" wrapText="1"/>
      <protection/>
    </xf>
    <xf numFmtId="3" fontId="0" fillId="0" borderId="15" xfId="53" applyNumberFormat="1" applyBorder="1">
      <alignment/>
      <protection/>
    </xf>
    <xf numFmtId="0" fontId="0" fillId="25" borderId="0" xfId="53" applyFill="1">
      <alignment/>
      <protection/>
    </xf>
    <xf numFmtId="0" fontId="0" fillId="0" borderId="0" xfId="50">
      <alignment/>
      <protection/>
    </xf>
    <xf numFmtId="4" fontId="13" fillId="24" borderId="15" xfId="50" applyNumberFormat="1" applyFont="1" applyFill="1" applyBorder="1" applyAlignment="1">
      <alignment horizontal="right" vertical="center" wrapText="1"/>
      <protection/>
    </xf>
    <xf numFmtId="164" fontId="13" fillId="24" borderId="31" xfId="50" applyNumberFormat="1" applyFont="1" applyFill="1" applyBorder="1" applyAlignment="1">
      <alignment horizontal="right" vertical="center" wrapText="1"/>
      <protection/>
    </xf>
    <xf numFmtId="0" fontId="33" fillId="7" borderId="32" xfId="50" applyFont="1" applyFill="1" applyBorder="1" applyAlignment="1">
      <alignment horizontal="left" vertical="center" wrapText="1"/>
      <protection/>
    </xf>
    <xf numFmtId="4" fontId="32" fillId="7" borderId="15" xfId="50" applyNumberFormat="1" applyFont="1" applyFill="1" applyBorder="1" applyAlignment="1">
      <alignment horizontal="right" vertical="center" wrapText="1"/>
      <protection/>
    </xf>
    <xf numFmtId="0" fontId="33" fillId="4" borderId="32" xfId="50" applyFont="1" applyFill="1" applyBorder="1" applyAlignment="1">
      <alignment horizontal="left" vertical="center" wrapText="1"/>
      <protection/>
    </xf>
    <xf numFmtId="4" fontId="32" fillId="4" borderId="15" xfId="50" applyNumberFormat="1" applyFont="1" applyFill="1" applyBorder="1" applyAlignment="1">
      <alignment horizontal="right" vertical="center" wrapText="1"/>
      <protection/>
    </xf>
    <xf numFmtId="4" fontId="13" fillId="0" borderId="15" xfId="50" applyNumberFormat="1" applyFont="1" applyFill="1" applyBorder="1" applyAlignment="1">
      <alignment horizontal="right" vertical="center" wrapText="1"/>
      <protection/>
    </xf>
    <xf numFmtId="4" fontId="0" fillId="0" borderId="0" xfId="50" applyNumberFormat="1">
      <alignment/>
      <protection/>
    </xf>
    <xf numFmtId="164" fontId="13" fillId="0" borderId="31" xfId="50" applyNumberFormat="1" applyFont="1" applyFill="1" applyBorder="1" applyAlignment="1">
      <alignment horizontal="right" vertical="center" wrapText="1"/>
      <protection/>
    </xf>
    <xf numFmtId="4" fontId="34" fillId="24" borderId="15" xfId="50" applyNumberFormat="1" applyFont="1" applyFill="1" applyBorder="1" applyAlignment="1">
      <alignment horizontal="right" vertical="center" wrapText="1"/>
      <protection/>
    </xf>
    <xf numFmtId="4" fontId="32" fillId="4" borderId="31" xfId="50" applyNumberFormat="1" applyFont="1" applyFill="1" applyBorder="1" applyAlignment="1">
      <alignment horizontal="right" vertical="center" wrapText="1"/>
      <protection/>
    </xf>
    <xf numFmtId="0" fontId="0" fillId="0" borderId="0" xfId="50" applyFill="1">
      <alignment/>
      <protection/>
    </xf>
    <xf numFmtId="4" fontId="13" fillId="0" borderId="15" xfId="50" applyNumberFormat="1" applyFont="1" applyFill="1" applyBorder="1" applyAlignment="1">
      <alignment horizontal="right" vertical="center" wrapText="1"/>
      <protection/>
    </xf>
    <xf numFmtId="4" fontId="13" fillId="0" borderId="31" xfId="50" applyNumberFormat="1" applyFont="1" applyFill="1" applyBorder="1" applyAlignment="1">
      <alignment horizontal="right" vertical="center" wrapText="1"/>
      <protection/>
    </xf>
    <xf numFmtId="4" fontId="32" fillId="17" borderId="33" xfId="50" applyNumberFormat="1" applyFont="1" applyFill="1" applyBorder="1" applyAlignment="1">
      <alignment horizontal="right" vertical="center" wrapText="1"/>
      <protection/>
    </xf>
    <xf numFmtId="0" fontId="35" fillId="0" borderId="0" xfId="50" applyFont="1">
      <alignment/>
      <protection/>
    </xf>
    <xf numFmtId="0" fontId="0" fillId="0" borderId="0" xfId="50" applyBorder="1">
      <alignment/>
      <protection/>
    </xf>
    <xf numFmtId="3" fontId="0" fillId="0" borderId="0" xfId="50" applyNumberFormat="1">
      <alignment/>
      <protection/>
    </xf>
    <xf numFmtId="3" fontId="12" fillId="0" borderId="23" xfId="53" applyNumberFormat="1" applyFont="1" applyFill="1" applyBorder="1" applyAlignment="1">
      <alignment horizontal="right" vertical="center" wrapText="1"/>
      <protection/>
    </xf>
    <xf numFmtId="0" fontId="0" fillId="0" borderId="27" xfId="53" applyBorder="1">
      <alignment/>
      <protection/>
    </xf>
    <xf numFmtId="0" fontId="11" fillId="25" borderId="17" xfId="53" applyFont="1" applyFill="1" applyBorder="1" applyAlignment="1">
      <alignment horizontal="left" vertical="center" wrapText="1"/>
      <protection/>
    </xf>
    <xf numFmtId="3" fontId="11" fillId="25" borderId="17" xfId="53" applyNumberFormat="1" applyFont="1" applyFill="1" applyBorder="1" applyAlignment="1">
      <alignment horizontal="right" vertical="center" wrapText="1"/>
      <protection/>
    </xf>
    <xf numFmtId="165" fontId="11" fillId="25" borderId="23" xfId="53" applyNumberFormat="1" applyFont="1" applyFill="1" applyBorder="1" applyAlignment="1">
      <alignment horizontal="right" vertical="center" wrapText="1"/>
      <protection/>
    </xf>
    <xf numFmtId="3" fontId="3" fillId="24" borderId="0" xfId="48" applyNumberFormat="1" applyFont="1" applyFill="1" applyBorder="1" applyAlignment="1" applyProtection="1">
      <alignment horizontal="left" vertical="top" wrapText="1"/>
      <protection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3" fillId="24" borderId="0" xfId="51" applyNumberFormat="1" applyFont="1" applyFill="1" applyBorder="1" applyAlignment="1" applyProtection="1">
      <alignment horizontal="left" vertical="top" wrapText="1"/>
      <protection/>
    </xf>
    <xf numFmtId="3" fontId="0" fillId="7" borderId="15" xfId="51" applyNumberFormat="1" applyFont="1" applyFill="1" applyBorder="1" applyAlignment="1" applyProtection="1">
      <alignment horizontal="right" vertical="center" wrapText="1"/>
      <protection/>
    </xf>
    <xf numFmtId="3" fontId="0" fillId="0" borderId="15" xfId="51" applyNumberFormat="1" applyFont="1" applyFill="1" applyBorder="1" applyAlignment="1" applyProtection="1">
      <alignment horizontal="right" vertical="center" wrapText="1"/>
      <protection/>
    </xf>
    <xf numFmtId="3" fontId="8" fillId="0" borderId="0" xfId="51" applyNumberFormat="1" applyFont="1">
      <alignment/>
      <protection/>
    </xf>
    <xf numFmtId="3" fontId="3" fillId="24" borderId="11" xfId="48" applyNumberFormat="1" applyFont="1" applyFill="1" applyBorder="1" applyAlignment="1" applyProtection="1">
      <alignment horizontal="left" vertical="center" wrapText="1"/>
      <protection/>
    </xf>
    <xf numFmtId="4" fontId="13" fillId="24" borderId="11" xfId="50" applyNumberFormat="1" applyFont="1" applyFill="1" applyBorder="1" applyAlignment="1">
      <alignment horizontal="right" vertical="center" wrapText="1"/>
      <protection/>
    </xf>
    <xf numFmtId="4" fontId="32" fillId="7" borderId="11" xfId="50" applyNumberFormat="1" applyFont="1" applyFill="1" applyBorder="1" applyAlignment="1">
      <alignment horizontal="right" vertical="center" wrapText="1"/>
      <protection/>
    </xf>
    <xf numFmtId="4" fontId="34" fillId="24" borderId="11" xfId="50" applyNumberFormat="1" applyFont="1" applyFill="1" applyBorder="1" applyAlignment="1">
      <alignment horizontal="right" vertical="center" wrapText="1"/>
      <protection/>
    </xf>
    <xf numFmtId="4" fontId="32" fillId="4" borderId="11" xfId="50" applyNumberFormat="1" applyFont="1" applyFill="1" applyBorder="1" applyAlignment="1">
      <alignment horizontal="right" vertical="center" wrapText="1"/>
      <protection/>
    </xf>
    <xf numFmtId="4" fontId="13" fillId="0" borderId="11" xfId="50" applyNumberFormat="1" applyFont="1" applyFill="1" applyBorder="1" applyAlignment="1">
      <alignment horizontal="right" vertical="center" wrapText="1"/>
      <protection/>
    </xf>
    <xf numFmtId="4" fontId="34" fillId="24" borderId="11" xfId="50" applyNumberFormat="1" applyFont="1" applyFill="1" applyBorder="1" applyAlignment="1">
      <alignment horizontal="right" vertical="center" wrapText="1"/>
      <protection/>
    </xf>
    <xf numFmtId="4" fontId="13" fillId="0" borderId="11" xfId="50" applyNumberFormat="1" applyFont="1" applyFill="1" applyBorder="1" applyAlignment="1">
      <alignment horizontal="right" vertical="center" wrapText="1"/>
      <protection/>
    </xf>
    <xf numFmtId="3" fontId="8" fillId="25" borderId="14" xfId="53" applyNumberFormat="1" applyFont="1" applyFill="1" applyBorder="1" applyAlignment="1">
      <alignment vertical="center"/>
      <protection/>
    </xf>
    <xf numFmtId="3" fontId="0" fillId="0" borderId="23" xfId="53" applyNumberFormat="1" applyBorder="1" applyAlignment="1">
      <alignment vertical="center"/>
      <protection/>
    </xf>
    <xf numFmtId="0" fontId="3" fillId="24" borderId="11" xfId="48" applyFont="1" applyFill="1" applyBorder="1" applyAlignment="1" applyProtection="1">
      <alignment horizontal="left" vertical="center" wrapText="1"/>
      <protection/>
    </xf>
    <xf numFmtId="3" fontId="4" fillId="19" borderId="11" xfId="48" applyNumberFormat="1" applyFont="1" applyFill="1" applyBorder="1" applyAlignment="1" applyProtection="1">
      <alignment horizontal="left" vertical="center" wrapText="1"/>
      <protection/>
    </xf>
    <xf numFmtId="0" fontId="3" fillId="19" borderId="11" xfId="48" applyFont="1" applyFill="1" applyBorder="1" applyAlignment="1" applyProtection="1">
      <alignment horizontal="left" vertical="center" wrapText="1"/>
      <protection/>
    </xf>
    <xf numFmtId="3" fontId="32" fillId="7" borderId="31" xfId="50" applyNumberFormat="1" applyFont="1" applyFill="1" applyBorder="1" applyAlignment="1">
      <alignment horizontal="right" vertical="center" wrapText="1"/>
      <protection/>
    </xf>
    <xf numFmtId="3" fontId="0" fillId="0" borderId="14" xfId="50" applyNumberFormat="1" applyBorder="1">
      <alignment/>
      <protection/>
    </xf>
    <xf numFmtId="3" fontId="32" fillId="7" borderId="14" xfId="50" applyNumberFormat="1" applyFont="1" applyFill="1" applyBorder="1" applyAlignment="1">
      <alignment horizontal="right" vertical="center" wrapText="1"/>
      <protection/>
    </xf>
    <xf numFmtId="3" fontId="32" fillId="4" borderId="14" xfId="50" applyNumberFormat="1" applyFont="1" applyFill="1" applyBorder="1" applyAlignment="1">
      <alignment horizontal="right" vertical="center" wrapText="1"/>
      <protection/>
    </xf>
    <xf numFmtId="3" fontId="0" fillId="0" borderId="14" xfId="50" applyNumberFormat="1" applyFont="1" applyBorder="1" applyAlignment="1">
      <alignment wrapText="1"/>
      <protection/>
    </xf>
    <xf numFmtId="3" fontId="32" fillId="4" borderId="31" xfId="50" applyNumberFormat="1" applyFont="1" applyFill="1" applyBorder="1" applyAlignment="1">
      <alignment horizontal="right" vertical="center" wrapText="1"/>
      <protection/>
    </xf>
    <xf numFmtId="3" fontId="8" fillId="4" borderId="14" xfId="50" applyNumberFormat="1" applyFont="1" applyFill="1" applyBorder="1">
      <alignment/>
      <protection/>
    </xf>
    <xf numFmtId="3" fontId="0" fillId="0" borderId="27" xfId="50" applyNumberFormat="1" applyBorder="1">
      <alignment/>
      <protection/>
    </xf>
    <xf numFmtId="0" fontId="8" fillId="25" borderId="14" xfId="53" applyFont="1" applyFill="1" applyBorder="1" applyAlignment="1">
      <alignment horizontal="center" vertical="center" wrapText="1"/>
      <protection/>
    </xf>
    <xf numFmtId="3" fontId="0" fillId="0" borderId="25" xfId="53" applyNumberFormat="1" applyBorder="1">
      <alignment/>
      <protection/>
    </xf>
    <xf numFmtId="0" fontId="4" fillId="25" borderId="14" xfId="53" applyFont="1" applyFill="1" applyBorder="1" applyAlignment="1">
      <alignment horizontal="center" vertical="center" wrapText="1"/>
      <protection/>
    </xf>
    <xf numFmtId="3" fontId="36" fillId="25" borderId="14" xfId="50" applyNumberFormat="1" applyFont="1" applyFill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37" fillId="0" borderId="0" xfId="54" applyFont="1">
      <alignment/>
      <protection/>
    </xf>
    <xf numFmtId="3" fontId="0" fillId="0" borderId="23" xfId="53" applyNumberFormat="1" applyFont="1" applyBorder="1" applyAlignment="1">
      <alignment vertical="center"/>
      <protection/>
    </xf>
    <xf numFmtId="0" fontId="0" fillId="0" borderId="14" xfId="53" applyFont="1" applyBorder="1">
      <alignment/>
      <protection/>
    </xf>
    <xf numFmtId="0" fontId="9" fillId="0" borderId="14" xfId="51" applyFont="1" applyBorder="1" applyAlignment="1">
      <alignment/>
      <protection/>
    </xf>
    <xf numFmtId="3" fontId="0" fillId="0" borderId="23" xfId="53" applyNumberFormat="1" applyBorder="1" applyAlignment="1">
      <alignment horizontal="right"/>
      <protection/>
    </xf>
    <xf numFmtId="3" fontId="4" fillId="25" borderId="14" xfId="48" applyNumberFormat="1" applyFont="1" applyFill="1" applyBorder="1" applyAlignment="1" applyProtection="1">
      <alignment horizontal="center" vertical="center" wrapText="1"/>
      <protection/>
    </xf>
    <xf numFmtId="0" fontId="0" fillId="0" borderId="0" xfId="50" applyFont="1">
      <alignment/>
      <protection/>
    </xf>
    <xf numFmtId="3" fontId="11" fillId="25" borderId="14" xfId="53" applyNumberFormat="1" applyFont="1" applyFill="1" applyBorder="1" applyAlignment="1">
      <alignment horizontal="left" vertical="center" wrapText="1"/>
      <protection/>
    </xf>
    <xf numFmtId="0" fontId="11" fillId="25" borderId="34" xfId="53" applyFont="1" applyFill="1" applyBorder="1" applyAlignment="1">
      <alignment horizontal="left" vertical="center" wrapText="1"/>
      <protection/>
    </xf>
    <xf numFmtId="0" fontId="12" fillId="0" borderId="33" xfId="53" applyFont="1" applyFill="1" applyBorder="1" applyAlignment="1">
      <alignment horizontal="left" vertical="center" wrapText="1"/>
      <protection/>
    </xf>
    <xf numFmtId="0" fontId="0" fillId="0" borderId="14" xfId="53" applyFill="1" applyBorder="1">
      <alignment/>
      <protection/>
    </xf>
    <xf numFmtId="3" fontId="12" fillId="0" borderId="33" xfId="53" applyNumberFormat="1" applyFont="1" applyFill="1" applyBorder="1" applyAlignment="1">
      <alignment horizontal="right" vertical="center" wrapText="1"/>
      <protection/>
    </xf>
    <xf numFmtId="3" fontId="12" fillId="0" borderId="35" xfId="53" applyNumberFormat="1" applyFont="1" applyFill="1" applyBorder="1" applyAlignment="1">
      <alignment horizontal="right" vertical="center" wrapText="1"/>
      <protection/>
    </xf>
    <xf numFmtId="3" fontId="0" fillId="0" borderId="23" xfId="53" applyNumberFormat="1" applyBorder="1" applyAlignment="1">
      <alignment horizontal="right" vertical="center"/>
      <protection/>
    </xf>
    <xf numFmtId="0" fontId="12" fillId="0" borderId="14" xfId="53" applyFont="1" applyFill="1" applyBorder="1" applyAlignment="1">
      <alignment horizontal="left" vertical="center" wrapText="1"/>
      <protection/>
    </xf>
    <xf numFmtId="3" fontId="12" fillId="0" borderId="14" xfId="53" applyNumberFormat="1" applyFont="1" applyFill="1" applyBorder="1" applyAlignment="1">
      <alignment horizontal="right" vertical="center" wrapText="1"/>
      <protection/>
    </xf>
    <xf numFmtId="3" fontId="12" fillId="0" borderId="0" xfId="53" applyNumberFormat="1" applyFont="1" applyFill="1" applyBorder="1" applyAlignment="1">
      <alignment horizontal="right" vertical="center" wrapText="1"/>
      <protection/>
    </xf>
    <xf numFmtId="1" fontId="2" fillId="24" borderId="0" xfId="47" applyNumberFormat="1" applyFont="1" applyFill="1" applyBorder="1" applyAlignment="1" applyProtection="1">
      <alignment horizontal="left" vertical="center" wrapText="1"/>
      <protection/>
    </xf>
    <xf numFmtId="0" fontId="40" fillId="25" borderId="15" xfId="53" applyFont="1" applyFill="1" applyBorder="1" applyAlignment="1">
      <alignment horizontal="center" vertical="center" wrapText="1"/>
      <protection/>
    </xf>
    <xf numFmtId="3" fontId="4" fillId="0" borderId="14" xfId="48" applyNumberFormat="1" applyFont="1" applyFill="1" applyBorder="1" applyAlignment="1" applyProtection="1">
      <alignment horizontal="right" vertical="center" wrapText="1"/>
      <protection/>
    </xf>
    <xf numFmtId="0" fontId="40" fillId="25" borderId="23" xfId="53" applyFont="1" applyFill="1" applyBorder="1" applyAlignment="1">
      <alignment horizontal="center" vertical="center" wrapText="1"/>
      <protection/>
    </xf>
    <xf numFmtId="0" fontId="31" fillId="25" borderId="14" xfId="53" applyFont="1" applyFill="1" applyBorder="1" applyAlignment="1">
      <alignment horizontal="center" vertical="center" wrapText="1"/>
      <protection/>
    </xf>
    <xf numFmtId="0" fontId="10" fillId="25" borderId="14" xfId="53" applyFont="1" applyFill="1" applyBorder="1" applyAlignment="1">
      <alignment horizontal="center" vertical="center" wrapText="1"/>
      <protection/>
    </xf>
    <xf numFmtId="3" fontId="40" fillId="25" borderId="36" xfId="48" applyNumberFormat="1" applyFont="1" applyFill="1" applyBorder="1" applyAlignment="1" applyProtection="1">
      <alignment horizontal="center" vertical="center" wrapText="1"/>
      <protection/>
    </xf>
    <xf numFmtId="0" fontId="31" fillId="25" borderId="33" xfId="53" applyFont="1" applyFill="1" applyBorder="1" applyAlignment="1">
      <alignment horizontal="left" vertical="center" wrapText="1"/>
      <protection/>
    </xf>
    <xf numFmtId="3" fontId="31" fillId="25" borderId="33" xfId="53" applyNumberFormat="1" applyFont="1" applyFill="1" applyBorder="1" applyAlignment="1">
      <alignment horizontal="right" vertical="center" wrapText="1"/>
      <protection/>
    </xf>
    <xf numFmtId="3" fontId="31" fillId="25" borderId="35" xfId="53" applyNumberFormat="1" applyFont="1" applyFill="1" applyBorder="1" applyAlignment="1">
      <alignment horizontal="right" vertical="center" wrapText="1"/>
      <protection/>
    </xf>
    <xf numFmtId="0" fontId="0" fillId="0" borderId="14" xfId="53" applyBorder="1" applyAlignment="1">
      <alignment vertical="center"/>
      <protection/>
    </xf>
    <xf numFmtId="3" fontId="4" fillId="7" borderId="15" xfId="50" applyNumberFormat="1" applyFont="1" applyFill="1" applyBorder="1" applyAlignment="1">
      <alignment horizontal="right" vertical="center" wrapText="1"/>
      <protection/>
    </xf>
    <xf numFmtId="3" fontId="4" fillId="7" borderId="37" xfId="50" applyNumberFormat="1" applyFont="1" applyFill="1" applyBorder="1" applyAlignment="1">
      <alignment horizontal="right" vertical="center" wrapText="1"/>
      <protection/>
    </xf>
    <xf numFmtId="3" fontId="4" fillId="7" borderId="14" xfId="50" applyNumberFormat="1" applyFont="1" applyFill="1" applyBorder="1" applyAlignment="1">
      <alignment horizontal="right" vertical="center" wrapText="1"/>
      <protection/>
    </xf>
    <xf numFmtId="3" fontId="4" fillId="4" borderId="14" xfId="50" applyNumberFormat="1" applyFont="1" applyFill="1" applyBorder="1" applyAlignment="1">
      <alignment horizontal="right" vertical="center" wrapText="1"/>
      <protection/>
    </xf>
    <xf numFmtId="3" fontId="4" fillId="4" borderId="15" xfId="50" applyNumberFormat="1" applyFont="1" applyFill="1" applyBorder="1" applyAlignment="1">
      <alignment horizontal="right" vertical="center" wrapText="1"/>
      <protection/>
    </xf>
    <xf numFmtId="3" fontId="4" fillId="17" borderId="33" xfId="50" applyNumberFormat="1" applyFont="1" applyFill="1" applyBorder="1" applyAlignment="1">
      <alignment horizontal="right" vertical="center" wrapText="1"/>
      <protection/>
    </xf>
    <xf numFmtId="3" fontId="0" fillId="0" borderId="14" xfId="50" applyNumberFormat="1" applyBorder="1" applyAlignment="1">
      <alignment horizontal="right" vertical="center"/>
      <protection/>
    </xf>
    <xf numFmtId="3" fontId="8" fillId="4" borderId="14" xfId="50" applyNumberFormat="1" applyFont="1" applyFill="1" applyBorder="1" applyAlignment="1">
      <alignment horizontal="right" vertical="center"/>
      <protection/>
    </xf>
    <xf numFmtId="0" fontId="0" fillId="0" borderId="14" xfId="50" applyBorder="1" applyAlignment="1">
      <alignment horizontal="right" vertical="center"/>
      <protection/>
    </xf>
    <xf numFmtId="0" fontId="11" fillId="25" borderId="38" xfId="50" applyFont="1" applyFill="1" applyBorder="1" applyAlignment="1">
      <alignment horizontal="center" vertical="center" wrapText="1"/>
      <protection/>
    </xf>
    <xf numFmtId="0" fontId="11" fillId="25" borderId="39" xfId="50" applyFont="1" applyFill="1" applyBorder="1" applyAlignment="1">
      <alignment horizontal="center" vertical="center" wrapText="1"/>
      <protection/>
    </xf>
    <xf numFmtId="0" fontId="32" fillId="25" borderId="39" xfId="50" applyFont="1" applyFill="1" applyBorder="1" applyAlignment="1">
      <alignment horizontal="center" vertical="center" wrapText="1"/>
      <protection/>
    </xf>
    <xf numFmtId="0" fontId="32" fillId="25" borderId="40" xfId="50" applyFont="1" applyFill="1" applyBorder="1" applyAlignment="1">
      <alignment horizontal="center" vertical="center" wrapText="1"/>
      <protection/>
    </xf>
    <xf numFmtId="0" fontId="32" fillId="25" borderId="41" xfId="50" applyFont="1" applyFill="1" applyBorder="1" applyAlignment="1">
      <alignment horizontal="center" vertical="center" wrapText="1"/>
      <protection/>
    </xf>
    <xf numFmtId="3" fontId="3" fillId="24" borderId="11" xfId="48" applyNumberFormat="1" applyFont="1" applyFill="1" applyBorder="1" applyAlignment="1" applyProtection="1">
      <alignment horizontal="right" vertical="center" wrapText="1"/>
      <protection/>
    </xf>
    <xf numFmtId="0" fontId="3" fillId="24" borderId="11" xfId="48" applyFont="1" applyFill="1" applyBorder="1" applyAlignment="1" applyProtection="1">
      <alignment horizontal="right" vertical="center" wrapText="1"/>
      <protection/>
    </xf>
    <xf numFmtId="3" fontId="3" fillId="19" borderId="11" xfId="48" applyNumberFormat="1" applyFont="1" applyFill="1" applyBorder="1" applyAlignment="1" applyProtection="1">
      <alignment horizontal="right" vertical="center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4" fillId="0" borderId="14" xfId="48" applyNumberFormat="1" applyFont="1" applyFill="1" applyBorder="1" applyAlignment="1" applyProtection="1">
      <alignment horizontal="right" vertical="center" wrapText="1"/>
      <protection/>
    </xf>
    <xf numFmtId="3" fontId="4" fillId="19" borderId="11" xfId="48" applyNumberFormat="1" applyFont="1" applyFill="1" applyBorder="1" applyAlignment="1" applyProtection="1">
      <alignment horizontal="right" vertical="center" wrapText="1"/>
      <protection/>
    </xf>
    <xf numFmtId="0" fontId="3" fillId="19" borderId="11" xfId="48" applyFont="1" applyFill="1" applyBorder="1" applyAlignment="1" applyProtection="1">
      <alignment horizontal="right" vertical="center" wrapText="1"/>
      <protection/>
    </xf>
    <xf numFmtId="3" fontId="8" fillId="0" borderId="14" xfId="48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3" fillId="0" borderId="14" xfId="48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center"/>
    </xf>
    <xf numFmtId="3" fontId="38" fillId="0" borderId="14" xfId="48" applyNumberFormat="1" applyFont="1" applyFill="1" applyBorder="1" applyAlignment="1" applyProtection="1">
      <alignment horizontal="right" vertical="center" wrapText="1"/>
      <protection/>
    </xf>
    <xf numFmtId="3" fontId="9" fillId="0" borderId="14" xfId="48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 horizontal="right"/>
    </xf>
    <xf numFmtId="0" fontId="1" fillId="7" borderId="14" xfId="55" applyFont="1" applyFill="1" applyBorder="1" applyAlignment="1" applyProtection="1">
      <alignment horizontal="center" vertical="center" wrapText="1"/>
      <protection/>
    </xf>
    <xf numFmtId="0" fontId="41" fillId="0" borderId="0" xfId="54" applyFont="1">
      <alignment/>
      <protection/>
    </xf>
    <xf numFmtId="0" fontId="0" fillId="0" borderId="14" xfId="55" applyBorder="1">
      <alignment/>
      <protection/>
    </xf>
    <xf numFmtId="0" fontId="9" fillId="19" borderId="16" xfId="51" applyFont="1" applyFill="1" applyBorder="1" applyAlignment="1" applyProtection="1">
      <alignment horizontal="left" vertical="center" wrapText="1"/>
      <protection/>
    </xf>
    <xf numFmtId="0" fontId="0" fillId="0" borderId="14" xfId="53" applyFont="1" applyBorder="1" applyAlignment="1">
      <alignment vertical="center" wrapText="1"/>
      <protection/>
    </xf>
    <xf numFmtId="0" fontId="12" fillId="24" borderId="32" xfId="0" applyFont="1" applyFill="1" applyBorder="1" applyAlignment="1">
      <alignment horizontal="left" vertical="center" wrapText="1"/>
    </xf>
    <xf numFmtId="0" fontId="12" fillId="24" borderId="32" xfId="0" applyFont="1" applyFill="1" applyBorder="1" applyAlignment="1">
      <alignment vertical="justify" wrapText="1"/>
    </xf>
    <xf numFmtId="0" fontId="42" fillId="24" borderId="32" xfId="0" applyFont="1" applyFill="1" applyBorder="1" applyAlignment="1">
      <alignment horizontal="left" vertical="center" wrapText="1"/>
    </xf>
    <xf numFmtId="0" fontId="11" fillId="4" borderId="32" xfId="50" applyFont="1" applyFill="1" applyBorder="1" applyAlignment="1">
      <alignment horizontal="left" vertical="center" wrapText="1"/>
      <protection/>
    </xf>
    <xf numFmtId="0" fontId="12" fillId="0" borderId="32" xfId="50" applyFont="1" applyFill="1" applyBorder="1" applyAlignment="1">
      <alignment horizontal="left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24" borderId="32" xfId="50" applyFont="1" applyFill="1" applyBorder="1" applyAlignment="1">
      <alignment horizontal="left" vertical="center" wrapText="1"/>
      <protection/>
    </xf>
    <xf numFmtId="0" fontId="12" fillId="24" borderId="32" xfId="50" applyNumberFormat="1" applyFont="1" applyFill="1" applyBorder="1" applyAlignment="1">
      <alignment horizontal="left" vertical="center" wrapText="1"/>
      <protection/>
    </xf>
    <xf numFmtId="0" fontId="11" fillId="17" borderId="42" xfId="50" applyFont="1" applyFill="1" applyBorder="1" applyAlignment="1">
      <alignment horizontal="left" vertical="center" wrapText="1"/>
      <protection/>
    </xf>
    <xf numFmtId="3" fontId="4" fillId="0" borderId="23" xfId="48" applyNumberFormat="1" applyFont="1" applyFill="1" applyBorder="1" applyAlignment="1" applyProtection="1">
      <alignment horizontal="right" vertical="center" wrapText="1"/>
      <protection/>
    </xf>
    <xf numFmtId="3" fontId="3" fillId="0" borderId="23" xfId="48" applyNumberFormat="1" applyFont="1" applyFill="1" applyBorder="1" applyAlignment="1" applyProtection="1">
      <alignment horizontal="right" vertical="center" wrapText="1"/>
      <protection/>
    </xf>
    <xf numFmtId="3" fontId="4" fillId="0" borderId="23" xfId="48" applyNumberFormat="1" applyFont="1" applyFill="1" applyBorder="1" applyAlignment="1" applyProtection="1">
      <alignment horizontal="right" vertical="center" wrapText="1"/>
      <protection/>
    </xf>
    <xf numFmtId="3" fontId="3" fillId="24" borderId="25" xfId="48" applyNumberFormat="1" applyFont="1" applyFill="1" applyBorder="1" applyAlignment="1" applyProtection="1">
      <alignment horizontal="right" vertical="center" wrapText="1"/>
      <protection/>
    </xf>
    <xf numFmtId="3" fontId="3" fillId="7" borderId="27" xfId="48" applyNumberFormat="1" applyFont="1" applyFill="1" applyBorder="1" applyAlignment="1" applyProtection="1">
      <alignment horizontal="right" vertical="center" wrapText="1"/>
      <protection/>
    </xf>
    <xf numFmtId="0" fontId="1" fillId="7" borderId="43" xfId="48" applyFont="1" applyFill="1" applyBorder="1" applyAlignment="1" applyProtection="1">
      <alignment horizontal="center" vertical="center" wrapText="1"/>
      <protection/>
    </xf>
    <xf numFmtId="0" fontId="1" fillId="7" borderId="44" xfId="48" applyFont="1" applyFill="1" applyBorder="1" applyAlignment="1" applyProtection="1">
      <alignment horizontal="center" vertical="center" wrapText="1"/>
      <protection/>
    </xf>
    <xf numFmtId="3" fontId="4" fillId="7" borderId="44" xfId="48" applyNumberFormat="1" applyFont="1" applyFill="1" applyBorder="1" applyAlignment="1" applyProtection="1">
      <alignment horizontal="center" vertical="center" wrapText="1"/>
      <protection/>
    </xf>
    <xf numFmtId="1" fontId="0" fillId="24" borderId="16" xfId="47" applyNumberFormat="1" applyFont="1" applyFill="1" applyBorder="1" applyAlignment="1" applyProtection="1">
      <alignment horizontal="left" vertical="center" wrapText="1"/>
      <protection/>
    </xf>
    <xf numFmtId="3" fontId="4" fillId="19" borderId="11" xfId="48" applyNumberFormat="1" applyFont="1" applyFill="1" applyBorder="1" applyAlignment="1" applyProtection="1">
      <alignment horizontal="right" vertical="center" wrapText="1"/>
      <protection/>
    </xf>
    <xf numFmtId="3" fontId="4" fillId="7" borderId="12" xfId="49" applyNumberFormat="1" applyFont="1" applyFill="1" applyBorder="1" applyAlignment="1" applyProtection="1">
      <alignment horizontal="center" vertical="center" wrapText="1"/>
      <protection/>
    </xf>
    <xf numFmtId="0" fontId="4" fillId="24" borderId="10" xfId="49" applyFont="1" applyFill="1" applyBorder="1" applyAlignment="1" applyProtection="1">
      <alignment horizontal="left" vertical="center" wrapText="1"/>
      <protection/>
    </xf>
    <xf numFmtId="3" fontId="3" fillId="19" borderId="15" xfId="49" applyNumberFormat="1" applyFont="1" applyFill="1" applyBorder="1" applyAlignment="1" applyProtection="1">
      <alignment horizontal="right" vertical="center" wrapText="1"/>
      <protection/>
    </xf>
    <xf numFmtId="0" fontId="4" fillId="7" borderId="45" xfId="49" applyFont="1" applyFill="1" applyBorder="1" applyAlignment="1" applyProtection="1">
      <alignment horizontal="center" vertical="center" wrapText="1"/>
      <protection/>
    </xf>
    <xf numFmtId="0" fontId="3" fillId="24" borderId="0" xfId="49" applyFont="1" applyFill="1" applyBorder="1" applyAlignment="1" applyProtection="1">
      <alignment horizontal="left" vertical="top" wrapText="1"/>
      <protection/>
    </xf>
    <xf numFmtId="3" fontId="3" fillId="24" borderId="0" xfId="49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3" fontId="3" fillId="7" borderId="15" xfId="49" applyNumberFormat="1" applyFont="1" applyFill="1" applyBorder="1" applyAlignment="1" applyProtection="1">
      <alignment horizontal="right" vertical="center" wrapText="1"/>
      <protection/>
    </xf>
    <xf numFmtId="3" fontId="8" fillId="19" borderId="15" xfId="49" applyNumberFormat="1" applyFont="1" applyFill="1" applyBorder="1" applyAlignment="1" applyProtection="1">
      <alignment horizontal="right" vertical="center" wrapText="1"/>
      <protection/>
    </xf>
    <xf numFmtId="3" fontId="4" fillId="7" borderId="15" xfId="49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7" borderId="15" xfId="49" applyNumberFormat="1" applyFont="1" applyFill="1" applyBorder="1" applyAlignment="1" applyProtection="1">
      <alignment horizontal="right" vertical="center" wrapText="1"/>
      <protection/>
    </xf>
    <xf numFmtId="3" fontId="8" fillId="7" borderId="15" xfId="49" applyNumberFormat="1" applyFont="1" applyFill="1" applyBorder="1" applyAlignment="1" applyProtection="1">
      <alignment horizontal="right" vertical="center" wrapText="1"/>
      <protection/>
    </xf>
    <xf numFmtId="0" fontId="9" fillId="0" borderId="46" xfId="0" applyFont="1" applyBorder="1" applyAlignment="1">
      <alignment horizontal="center"/>
    </xf>
    <xf numFmtId="3" fontId="9" fillId="7" borderId="15" xfId="49" applyNumberFormat="1" applyFont="1" applyFill="1" applyBorder="1" applyAlignment="1" applyProtection="1">
      <alignment horizontal="right" vertical="center" wrapText="1"/>
      <protection/>
    </xf>
    <xf numFmtId="3" fontId="9" fillId="19" borderId="15" xfId="49" applyNumberFormat="1" applyFont="1" applyFill="1" applyBorder="1" applyAlignment="1" applyProtection="1">
      <alignment horizontal="right" vertical="center" wrapText="1"/>
      <protection/>
    </xf>
    <xf numFmtId="3" fontId="4" fillId="19" borderId="15" xfId="49" applyNumberFormat="1" applyFont="1" applyFill="1" applyBorder="1" applyAlignment="1" applyProtection="1">
      <alignment horizontal="right" vertical="center" wrapText="1"/>
      <protection/>
    </xf>
    <xf numFmtId="0" fontId="0" fillId="15" borderId="0" xfId="0" applyFont="1" applyFill="1" applyAlignment="1">
      <alignment/>
    </xf>
    <xf numFmtId="0" fontId="4" fillId="7" borderId="47" xfId="48" applyFont="1" applyFill="1" applyBorder="1" applyAlignment="1" applyProtection="1">
      <alignment horizontal="center" vertical="center" wrapText="1"/>
      <protection/>
    </xf>
    <xf numFmtId="3" fontId="4" fillId="7" borderId="47" xfId="48" applyNumberFormat="1" applyFont="1" applyFill="1" applyBorder="1" applyAlignment="1" applyProtection="1">
      <alignment horizontal="center" vertical="center" wrapText="1"/>
      <protection/>
    </xf>
    <xf numFmtId="0" fontId="4" fillId="7" borderId="47" xfId="51" applyFont="1" applyFill="1" applyBorder="1" applyAlignment="1" applyProtection="1">
      <alignment horizontal="center" vertical="center" wrapText="1"/>
      <protection/>
    </xf>
    <xf numFmtId="3" fontId="4" fillId="7" borderId="47" xfId="51" applyNumberFormat="1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4" fillId="7" borderId="48" xfId="49" applyFont="1" applyFill="1" applyBorder="1" applyAlignment="1" applyProtection="1">
      <alignment horizontal="center" vertical="center" wrapText="1"/>
      <protection/>
    </xf>
    <xf numFmtId="0" fontId="3" fillId="24" borderId="15" xfId="49" applyFont="1" applyFill="1" applyBorder="1" applyAlignment="1" applyProtection="1">
      <alignment horizontal="right" vertical="center" wrapText="1"/>
      <protection/>
    </xf>
    <xf numFmtId="3" fontId="4" fillId="7" borderId="44" xfId="48" applyNumberFormat="1" applyFont="1" applyFill="1" applyBorder="1" applyAlignment="1" applyProtection="1">
      <alignment horizontal="center" vertical="center" wrapText="1"/>
      <protection/>
    </xf>
    <xf numFmtId="0" fontId="3" fillId="24" borderId="27" xfId="48" applyFont="1" applyFill="1" applyBorder="1" applyAlignment="1" applyProtection="1">
      <alignment horizontal="right" vertical="center" wrapText="1"/>
      <protection/>
    </xf>
    <xf numFmtId="0" fontId="3" fillId="24" borderId="27" xfId="48" applyFont="1" applyFill="1" applyBorder="1" applyAlignment="1" applyProtection="1">
      <alignment horizontal="left" vertical="center" wrapText="1"/>
      <protection/>
    </xf>
    <xf numFmtId="3" fontId="3" fillId="24" borderId="49" xfId="48" applyNumberFormat="1" applyFont="1" applyFill="1" applyBorder="1" applyAlignment="1" applyProtection="1">
      <alignment horizontal="right" vertical="center" wrapText="1"/>
      <protection/>
    </xf>
    <xf numFmtId="3" fontId="3" fillId="24" borderId="27" xfId="48" applyNumberFormat="1" applyFont="1" applyFill="1" applyBorder="1" applyAlignment="1" applyProtection="1">
      <alignment horizontal="right" vertical="center" wrapText="1"/>
      <protection/>
    </xf>
    <xf numFmtId="3" fontId="3" fillId="24" borderId="15" xfId="49" applyNumberFormat="1" applyFont="1" applyFill="1" applyBorder="1" applyAlignment="1" applyProtection="1">
      <alignment horizontal="right" vertical="center" wrapText="1"/>
      <protection/>
    </xf>
    <xf numFmtId="0" fontId="3" fillId="24" borderId="16" xfId="49" applyFont="1" applyFill="1" applyBorder="1" applyAlignment="1" applyProtection="1">
      <alignment horizontal="left" vertical="center" wrapText="1"/>
      <protection/>
    </xf>
    <xf numFmtId="0" fontId="3" fillId="24" borderId="15" xfId="49" applyFont="1" applyFill="1" applyBorder="1" applyAlignment="1" applyProtection="1">
      <alignment horizontal="left" vertical="center" wrapText="1"/>
      <protection/>
    </xf>
    <xf numFmtId="0" fontId="3" fillId="19" borderId="15" xfId="49" applyFont="1" applyFill="1" applyBorder="1" applyAlignment="1" applyProtection="1">
      <alignment horizontal="left" vertical="center" wrapText="1"/>
      <protection/>
    </xf>
    <xf numFmtId="0" fontId="3" fillId="19" borderId="16" xfId="49" applyFont="1" applyFill="1" applyBorder="1" applyAlignment="1" applyProtection="1">
      <alignment horizontal="left" vertical="center" wrapText="1"/>
      <protection/>
    </xf>
    <xf numFmtId="0" fontId="3" fillId="24" borderId="11" xfId="49" applyFont="1" applyFill="1" applyBorder="1" applyAlignment="1" applyProtection="1">
      <alignment horizontal="right" vertical="center" wrapText="1"/>
      <protection/>
    </xf>
    <xf numFmtId="0" fontId="3" fillId="24" borderId="50" xfId="49" applyFont="1" applyFill="1" applyBorder="1" applyAlignment="1" applyProtection="1">
      <alignment horizontal="right" vertical="center" wrapText="1"/>
      <protection/>
    </xf>
    <xf numFmtId="0" fontId="4" fillId="7" borderId="12" xfId="49" applyFont="1" applyFill="1" applyBorder="1" applyAlignment="1" applyProtection="1">
      <alignment horizontal="center" vertical="center" wrapText="1"/>
      <protection/>
    </xf>
    <xf numFmtId="0" fontId="4" fillId="0" borderId="14" xfId="48" applyFont="1" applyFill="1" applyBorder="1" applyAlignment="1" applyProtection="1">
      <alignment horizontal="left" vertical="center" wrapText="1"/>
      <protection/>
    </xf>
    <xf numFmtId="0" fontId="3" fillId="0" borderId="14" xfId="48" applyFont="1" applyFill="1" applyBorder="1" applyAlignment="1" applyProtection="1">
      <alignment horizontal="right" vertical="center" wrapText="1"/>
      <protection/>
    </xf>
    <xf numFmtId="0" fontId="3" fillId="0" borderId="14" xfId="48" applyFont="1" applyFill="1" applyBorder="1" applyAlignment="1" applyProtection="1">
      <alignment horizontal="left" vertical="center" wrapText="1"/>
      <protection/>
    </xf>
    <xf numFmtId="3" fontId="0" fillId="0" borderId="14" xfId="48" applyNumberFormat="1" applyFont="1" applyFill="1" applyBorder="1" applyAlignment="1" applyProtection="1">
      <alignment horizontal="right" vertical="center" wrapText="1"/>
      <protection/>
    </xf>
    <xf numFmtId="0" fontId="4" fillId="7" borderId="44" xfId="48" applyFont="1" applyFill="1" applyBorder="1" applyAlignment="1" applyProtection="1">
      <alignment horizontal="center" vertical="center" wrapText="1"/>
      <protection/>
    </xf>
    <xf numFmtId="0" fontId="4" fillId="7" borderId="51" xfId="48" applyFont="1" applyFill="1" applyBorder="1" applyAlignment="1" applyProtection="1">
      <alignment horizontal="center" vertical="center" wrapText="1"/>
      <protection/>
    </xf>
    <xf numFmtId="0" fontId="40" fillId="25" borderId="15" xfId="53" applyFont="1" applyFill="1" applyBorder="1" applyAlignment="1">
      <alignment horizontal="center" vertical="center" wrapText="1"/>
      <protection/>
    </xf>
    <xf numFmtId="0" fontId="40" fillId="25" borderId="11" xfId="53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 applyProtection="1">
      <alignment horizontal="left" vertical="center" wrapText="1"/>
      <protection/>
    </xf>
    <xf numFmtId="3" fontId="4" fillId="0" borderId="14" xfId="48" applyNumberFormat="1" applyFont="1" applyFill="1" applyBorder="1" applyAlignment="1" applyProtection="1">
      <alignment horizontal="right" vertical="center" wrapText="1"/>
      <protection/>
    </xf>
    <xf numFmtId="0" fontId="4" fillId="0" borderId="14" xfId="48" applyFont="1" applyFill="1" applyBorder="1" applyAlignment="1" applyProtection="1">
      <alignment horizontal="right" vertical="center" wrapText="1"/>
      <protection/>
    </xf>
    <xf numFmtId="3" fontId="3" fillId="24" borderId="27" xfId="48" applyNumberFormat="1" applyFont="1" applyFill="1" applyBorder="1" applyAlignment="1" applyProtection="1">
      <alignment horizontal="left" vertical="center" wrapText="1"/>
      <protection/>
    </xf>
    <xf numFmtId="0" fontId="3" fillId="24" borderId="27" xfId="48" applyFont="1" applyFill="1" applyBorder="1" applyAlignment="1" applyProtection="1">
      <alignment horizontal="left" vertical="center" wrapText="1"/>
      <protection/>
    </xf>
    <xf numFmtId="3" fontId="4" fillId="0" borderId="52" xfId="48" applyNumberFormat="1" applyFont="1" applyFill="1" applyBorder="1" applyAlignment="1" applyProtection="1">
      <alignment horizontal="right" vertical="center" wrapText="1"/>
      <protection/>
    </xf>
    <xf numFmtId="3" fontId="4" fillId="0" borderId="14" xfId="48" applyNumberFormat="1" applyFont="1" applyFill="1" applyBorder="1" applyAlignment="1" applyProtection="1">
      <alignment horizontal="right" vertical="center" wrapText="1"/>
      <protection/>
    </xf>
    <xf numFmtId="3" fontId="4" fillId="0" borderId="52" xfId="48" applyNumberFormat="1" applyFont="1" applyFill="1" applyBorder="1" applyAlignment="1" applyProtection="1">
      <alignment horizontal="right" vertical="center" wrapText="1"/>
      <protection/>
    </xf>
    <xf numFmtId="3" fontId="3" fillId="0" borderId="52" xfId="48" applyNumberFormat="1" applyFont="1" applyFill="1" applyBorder="1" applyAlignment="1" applyProtection="1">
      <alignment horizontal="right" vertical="center" wrapText="1"/>
      <protection/>
    </xf>
    <xf numFmtId="3" fontId="3" fillId="0" borderId="14" xfId="48" applyNumberFormat="1" applyFont="1" applyFill="1" applyBorder="1" applyAlignment="1" applyProtection="1">
      <alignment horizontal="right" vertical="center" wrapText="1"/>
      <protection/>
    </xf>
    <xf numFmtId="3" fontId="12" fillId="24" borderId="15" xfId="53" applyNumberFormat="1" applyFont="1" applyFill="1" applyBorder="1" applyAlignment="1">
      <alignment horizontal="right" vertical="center" wrapText="1"/>
      <protection/>
    </xf>
    <xf numFmtId="3" fontId="12" fillId="24" borderId="11" xfId="53" applyNumberFormat="1" applyFont="1" applyFill="1" applyBorder="1" applyAlignment="1">
      <alignment horizontal="right" vertical="center" wrapText="1"/>
      <protection/>
    </xf>
    <xf numFmtId="0" fontId="4" fillId="25" borderId="14" xfId="53" applyFont="1" applyFill="1" applyBorder="1" applyAlignment="1">
      <alignment horizontal="center" vertical="center" wrapText="1"/>
      <protection/>
    </xf>
    <xf numFmtId="3" fontId="12" fillId="24" borderId="17" xfId="53" applyNumberFormat="1" applyFont="1" applyFill="1" applyBorder="1" applyAlignment="1">
      <alignment horizontal="right" vertical="center" wrapText="1"/>
      <protection/>
    </xf>
    <xf numFmtId="3" fontId="12" fillId="24" borderId="28" xfId="53" applyNumberFormat="1" applyFont="1" applyFill="1" applyBorder="1" applyAlignment="1">
      <alignment horizontal="right" vertical="center" wrapText="1"/>
      <protection/>
    </xf>
    <xf numFmtId="3" fontId="11" fillId="25" borderId="17" xfId="53" applyNumberFormat="1" applyFont="1" applyFill="1" applyBorder="1" applyAlignment="1">
      <alignment horizontal="right" vertical="center" wrapText="1"/>
      <protection/>
    </xf>
    <xf numFmtId="3" fontId="11" fillId="25" borderId="28" xfId="53" applyNumberFormat="1" applyFont="1" applyFill="1" applyBorder="1" applyAlignment="1">
      <alignment horizontal="right" vertical="center" wrapText="1"/>
      <protection/>
    </xf>
    <xf numFmtId="3" fontId="12" fillId="24" borderId="50" xfId="53" applyNumberFormat="1" applyFont="1" applyFill="1" applyBorder="1" applyAlignment="1">
      <alignment horizontal="right" vertical="center" wrapText="1"/>
      <protection/>
    </xf>
    <xf numFmtId="3" fontId="11" fillId="25" borderId="14" xfId="53" applyNumberFormat="1" applyFont="1" applyFill="1" applyBorder="1" applyAlignment="1">
      <alignment horizontal="right" vertical="center" wrapText="1"/>
      <protection/>
    </xf>
    <xf numFmtId="3" fontId="11" fillId="25" borderId="15" xfId="53" applyNumberFormat="1" applyFont="1" applyFill="1" applyBorder="1" applyAlignment="1">
      <alignment horizontal="right" vertical="center" wrapText="1"/>
      <protection/>
    </xf>
    <xf numFmtId="3" fontId="11" fillId="25" borderId="11" xfId="53" applyNumberFormat="1" applyFont="1" applyFill="1" applyBorder="1" applyAlignment="1">
      <alignment horizontal="right" vertical="center" wrapText="1"/>
      <protection/>
    </xf>
    <xf numFmtId="3" fontId="12" fillId="24" borderId="31" xfId="53" applyNumberFormat="1" applyFont="1" applyFill="1" applyBorder="1" applyAlignment="1">
      <alignment horizontal="right" vertical="center" wrapText="1"/>
      <protection/>
    </xf>
    <xf numFmtId="3" fontId="3" fillId="19" borderId="15" xfId="49" applyNumberFormat="1" applyFont="1" applyFill="1" applyBorder="1" applyAlignment="1" applyProtection="1">
      <alignment horizontal="right" vertical="center" wrapText="1"/>
      <protection/>
    </xf>
    <xf numFmtId="3" fontId="4" fillId="7" borderId="12" xfId="49" applyNumberFormat="1" applyFont="1" applyFill="1" applyBorder="1" applyAlignment="1" applyProtection="1">
      <alignment horizontal="center" vertical="center" wrapText="1"/>
      <protection/>
    </xf>
    <xf numFmtId="0" fontId="2" fillId="24" borderId="0" xfId="49" applyFont="1" applyFill="1" applyBorder="1" applyAlignment="1" applyProtection="1">
      <alignment horizontal="left" wrapText="1"/>
      <protection/>
    </xf>
    <xf numFmtId="0" fontId="4" fillId="19" borderId="53" xfId="49" applyFont="1" applyFill="1" applyBorder="1" applyAlignment="1" applyProtection="1">
      <alignment horizontal="left" vertical="center" wrapText="1"/>
      <protection/>
    </xf>
    <xf numFmtId="0" fontId="4" fillId="24" borderId="53" xfId="49" applyFont="1" applyFill="1" applyBorder="1" applyAlignment="1" applyProtection="1">
      <alignment horizontal="left" vertical="center" wrapText="1"/>
      <protection/>
    </xf>
    <xf numFmtId="0" fontId="4" fillId="24" borderId="10" xfId="49" applyFont="1" applyFill="1" applyBorder="1" applyAlignment="1" applyProtection="1">
      <alignment horizontal="left" vertical="center" wrapText="1"/>
      <protection/>
    </xf>
    <xf numFmtId="0" fontId="4" fillId="19" borderId="10" xfId="49" applyFont="1" applyFill="1" applyBorder="1" applyAlignment="1" applyProtection="1">
      <alignment horizontal="left" vertical="center" wrapText="1"/>
      <protection/>
    </xf>
    <xf numFmtId="0" fontId="4" fillId="19" borderId="15" xfId="49" applyFont="1" applyFill="1" applyBorder="1" applyAlignment="1" applyProtection="1">
      <alignment horizontal="right" vertical="center" wrapText="1"/>
      <protection/>
    </xf>
    <xf numFmtId="3" fontId="4" fillId="19" borderId="15" xfId="49" applyNumberFormat="1" applyFont="1" applyFill="1" applyBorder="1" applyAlignment="1" applyProtection="1">
      <alignment horizontal="right" vertical="center" wrapText="1"/>
      <protection/>
    </xf>
    <xf numFmtId="3" fontId="3" fillId="24" borderId="11" xfId="49" applyNumberFormat="1" applyFont="1" applyFill="1" applyBorder="1" applyAlignment="1" applyProtection="1">
      <alignment horizontal="right" vertical="center" wrapText="1"/>
      <protection/>
    </xf>
    <xf numFmtId="3" fontId="3" fillId="24" borderId="50" xfId="49" applyNumberFormat="1" applyFont="1" applyFill="1" applyBorder="1" applyAlignment="1" applyProtection="1">
      <alignment horizontal="right" vertical="center" wrapText="1"/>
      <protection/>
    </xf>
    <xf numFmtId="0" fontId="3" fillId="24" borderId="11" xfId="49" applyFont="1" applyFill="1" applyBorder="1" applyAlignment="1" applyProtection="1">
      <alignment horizontal="left" vertical="center" wrapText="1"/>
      <protection/>
    </xf>
    <xf numFmtId="0" fontId="3" fillId="24" borderId="29" xfId="49" applyFont="1" applyFill="1" applyBorder="1" applyAlignment="1" applyProtection="1">
      <alignment horizontal="left" vertical="center" wrapText="1"/>
      <protection/>
    </xf>
    <xf numFmtId="0" fontId="3" fillId="24" borderId="50" xfId="49" applyFont="1" applyFill="1" applyBorder="1" applyAlignment="1" applyProtection="1">
      <alignment horizontal="left" vertical="center" wrapText="1"/>
      <protection/>
    </xf>
    <xf numFmtId="3" fontId="4" fillId="24" borderId="15" xfId="49" applyNumberFormat="1" applyFont="1" applyFill="1" applyBorder="1" applyAlignment="1" applyProtection="1">
      <alignment horizontal="right" vertical="center" wrapText="1"/>
      <protection/>
    </xf>
    <xf numFmtId="3" fontId="3" fillId="24" borderId="29" xfId="49" applyNumberFormat="1" applyFont="1" applyFill="1" applyBorder="1" applyAlignment="1" applyProtection="1">
      <alignment horizontal="right" vertical="center" wrapText="1"/>
      <protection/>
    </xf>
    <xf numFmtId="3" fontId="8" fillId="24" borderId="15" xfId="49" applyNumberFormat="1" applyFont="1" applyFill="1" applyBorder="1" applyAlignment="1" applyProtection="1">
      <alignment horizontal="right" vertical="center" wrapText="1"/>
      <protection/>
    </xf>
    <xf numFmtId="3" fontId="0" fillId="24" borderId="15" xfId="49" applyNumberFormat="1" applyFont="1" applyFill="1" applyBorder="1" applyAlignment="1" applyProtection="1">
      <alignment horizontal="right" vertical="center" wrapText="1"/>
      <protection/>
    </xf>
    <xf numFmtId="3" fontId="4" fillId="24" borderId="11" xfId="49" applyNumberFormat="1" applyFont="1" applyFill="1" applyBorder="1" applyAlignment="1" applyProtection="1">
      <alignment horizontal="right" vertical="center" wrapText="1"/>
      <protection/>
    </xf>
    <xf numFmtId="3" fontId="4" fillId="24" borderId="50" xfId="49" applyNumberFormat="1" applyFont="1" applyFill="1" applyBorder="1" applyAlignment="1" applyProtection="1">
      <alignment horizontal="right" vertical="center" wrapText="1"/>
      <protection/>
    </xf>
    <xf numFmtId="0" fontId="0" fillId="24" borderId="15" xfId="49" applyFont="1" applyFill="1" applyBorder="1" applyAlignment="1" applyProtection="1">
      <alignment horizontal="left" vertical="center" wrapText="1"/>
      <protection/>
    </xf>
    <xf numFmtId="0" fontId="0" fillId="24" borderId="15" xfId="49" applyFont="1" applyFill="1" applyBorder="1" applyAlignment="1" applyProtection="1">
      <alignment horizontal="right" vertical="center" wrapText="1"/>
      <protection/>
    </xf>
    <xf numFmtId="0" fontId="0" fillId="24" borderId="16" xfId="49" applyFont="1" applyFill="1" applyBorder="1" applyAlignment="1" applyProtection="1">
      <alignment horizontal="left" vertical="center" wrapText="1"/>
      <protection/>
    </xf>
    <xf numFmtId="0" fontId="4" fillId="24" borderId="15" xfId="49" applyFont="1" applyFill="1" applyBorder="1" applyAlignment="1" applyProtection="1">
      <alignment horizontal="right" vertical="center" wrapText="1"/>
      <protection/>
    </xf>
    <xf numFmtId="3" fontId="4" fillId="19" borderId="11" xfId="49" applyNumberFormat="1" applyFont="1" applyFill="1" applyBorder="1" applyAlignment="1" applyProtection="1">
      <alignment horizontal="right" vertical="center" wrapText="1"/>
      <protection/>
    </xf>
    <xf numFmtId="0" fontId="4" fillId="19" borderId="50" xfId="49" applyFont="1" applyFill="1" applyBorder="1" applyAlignment="1" applyProtection="1">
      <alignment horizontal="right" vertical="center" wrapText="1"/>
      <protection/>
    </xf>
    <xf numFmtId="0" fontId="4" fillId="19" borderId="16" xfId="49" applyFont="1" applyFill="1" applyBorder="1" applyAlignment="1" applyProtection="1">
      <alignment horizontal="left" vertical="center" wrapText="1"/>
      <protection/>
    </xf>
    <xf numFmtId="3" fontId="4" fillId="19" borderId="50" xfId="49" applyNumberFormat="1" applyFont="1" applyFill="1" applyBorder="1" applyAlignment="1" applyProtection="1">
      <alignment horizontal="right" vertical="center" wrapText="1"/>
      <protection/>
    </xf>
    <xf numFmtId="3" fontId="4" fillId="19" borderId="15" xfId="49" applyNumberFormat="1" applyFont="1" applyFill="1" applyBorder="1" applyAlignment="1" applyProtection="1">
      <alignment horizontal="right" vertical="center" wrapText="1"/>
      <protection/>
    </xf>
    <xf numFmtId="0" fontId="3" fillId="24" borderId="54" xfId="49" applyFont="1" applyFill="1" applyBorder="1" applyAlignment="1" applyProtection="1">
      <alignment horizontal="left" vertical="center" wrapText="1"/>
      <protection/>
    </xf>
    <xf numFmtId="3" fontId="3" fillId="24" borderId="14" xfId="55" applyNumberFormat="1" applyFont="1" applyFill="1" applyBorder="1" applyAlignment="1" applyProtection="1">
      <alignment horizontal="right" vertical="center" wrapText="1"/>
      <protection/>
    </xf>
    <xf numFmtId="0" fontId="1" fillId="7" borderId="14" xfId="48" applyFont="1" applyFill="1" applyBorder="1" applyAlignment="1" applyProtection="1">
      <alignment horizontal="center" vertical="center" wrapText="1"/>
      <protection/>
    </xf>
    <xf numFmtId="0" fontId="1" fillId="24" borderId="14" xfId="55" applyFont="1" applyFill="1" applyBorder="1" applyAlignment="1" applyProtection="1">
      <alignment horizontal="center" vertical="center" wrapText="1"/>
      <protection/>
    </xf>
    <xf numFmtId="3" fontId="4" fillId="25" borderId="14" xfId="55" applyNumberFormat="1" applyFont="1" applyFill="1" applyBorder="1" applyAlignment="1" applyProtection="1">
      <alignment horizontal="right" vertical="center" wrapText="1"/>
      <protection/>
    </xf>
    <xf numFmtId="0" fontId="4" fillId="19" borderId="10" xfId="48" applyFont="1" applyFill="1" applyBorder="1" applyAlignment="1" applyProtection="1">
      <alignment horizontal="left" vertical="center" wrapText="1"/>
      <protection/>
    </xf>
    <xf numFmtId="3" fontId="4" fillId="19" borderId="15" xfId="48" applyNumberFormat="1" applyFont="1" applyFill="1" applyBorder="1" applyAlignment="1" applyProtection="1">
      <alignment horizontal="right" vertical="center" wrapText="1"/>
      <protection/>
    </xf>
    <xf numFmtId="0" fontId="3" fillId="19" borderId="15" xfId="48" applyFont="1" applyFill="1" applyBorder="1" applyAlignment="1" applyProtection="1">
      <alignment horizontal="left" vertical="center" wrapText="1"/>
      <protection/>
    </xf>
    <xf numFmtId="0" fontId="3" fillId="19" borderId="16" xfId="48" applyFont="1" applyFill="1" applyBorder="1" applyAlignment="1" applyProtection="1">
      <alignment horizontal="left" vertical="center" wrapText="1"/>
      <protection/>
    </xf>
    <xf numFmtId="3" fontId="3" fillId="19" borderId="15" xfId="48" applyNumberFormat="1" applyFont="1" applyFill="1" applyBorder="1" applyAlignment="1" applyProtection="1">
      <alignment horizontal="left" vertical="center" wrapText="1"/>
      <protection/>
    </xf>
    <xf numFmtId="3" fontId="3" fillId="19" borderId="15" xfId="48" applyNumberFormat="1" applyFont="1" applyFill="1" applyBorder="1" applyAlignment="1" applyProtection="1">
      <alignment horizontal="right" vertical="center" wrapText="1"/>
      <protection/>
    </xf>
    <xf numFmtId="0" fontId="4" fillId="19" borderId="53" xfId="48" applyFont="1" applyFill="1" applyBorder="1" applyAlignment="1" applyProtection="1">
      <alignment horizontal="left" vertical="center" wrapText="1"/>
      <protection/>
    </xf>
    <xf numFmtId="0" fontId="4" fillId="24" borderId="53" xfId="48" applyFont="1" applyFill="1" applyBorder="1" applyAlignment="1" applyProtection="1">
      <alignment horizontal="left" vertical="center" wrapText="1"/>
      <protection/>
    </xf>
    <xf numFmtId="0" fontId="3" fillId="24" borderId="15" xfId="48" applyFont="1" applyFill="1" applyBorder="1" applyAlignment="1" applyProtection="1">
      <alignment horizontal="left" vertical="center" wrapText="1"/>
      <protection/>
    </xf>
    <xf numFmtId="3" fontId="3" fillId="24" borderId="15" xfId="48" applyNumberFormat="1" applyFont="1" applyFill="1" applyBorder="1" applyAlignment="1" applyProtection="1">
      <alignment horizontal="right" vertical="center" wrapText="1"/>
      <protection/>
    </xf>
    <xf numFmtId="0" fontId="3" fillId="24" borderId="16" xfId="48" applyFont="1" applyFill="1" applyBorder="1" applyAlignment="1" applyProtection="1">
      <alignment horizontal="left" vertical="center" wrapText="1"/>
      <protection/>
    </xf>
    <xf numFmtId="0" fontId="3" fillId="24" borderId="0" xfId="48" applyFont="1" applyFill="1" applyBorder="1" applyAlignment="1" applyProtection="1">
      <alignment horizontal="left" wrapText="1"/>
      <protection/>
    </xf>
    <xf numFmtId="0" fontId="4" fillId="7" borderId="47" xfId="48" applyFont="1" applyFill="1" applyBorder="1" applyAlignment="1" applyProtection="1">
      <alignment horizontal="center" vertical="center" wrapText="1"/>
      <protection/>
    </xf>
    <xf numFmtId="3" fontId="4" fillId="7" borderId="47" xfId="48" applyNumberFormat="1" applyFont="1" applyFill="1" applyBorder="1" applyAlignment="1" applyProtection="1">
      <alignment horizontal="center" vertical="center" wrapText="1"/>
      <protection/>
    </xf>
    <xf numFmtId="0" fontId="2" fillId="24" borderId="0" xfId="48" applyFont="1" applyFill="1" applyBorder="1" applyAlignment="1" applyProtection="1">
      <alignment horizontal="left" wrapText="1"/>
      <protection/>
    </xf>
    <xf numFmtId="0" fontId="4" fillId="24" borderId="10" xfId="48" applyFont="1" applyFill="1" applyBorder="1" applyAlignment="1" applyProtection="1">
      <alignment horizontal="left" vertical="center" wrapText="1"/>
      <protection/>
    </xf>
    <xf numFmtId="3" fontId="4" fillId="19" borderId="11" xfId="48" applyNumberFormat="1" applyFont="1" applyFill="1" applyBorder="1" applyAlignment="1" applyProtection="1">
      <alignment horizontal="right" vertical="center" wrapText="1"/>
      <protection/>
    </xf>
    <xf numFmtId="3" fontId="4" fillId="19" borderId="50" xfId="48" applyNumberFormat="1" applyFont="1" applyFill="1" applyBorder="1" applyAlignment="1" applyProtection="1">
      <alignment horizontal="right" vertical="center" wrapText="1"/>
      <protection/>
    </xf>
    <xf numFmtId="3" fontId="4" fillId="19" borderId="29" xfId="48" applyNumberFormat="1" applyFont="1" applyFill="1" applyBorder="1" applyAlignment="1" applyProtection="1">
      <alignment horizontal="right" vertical="center" wrapText="1"/>
      <protection/>
    </xf>
    <xf numFmtId="3" fontId="3" fillId="24" borderId="11" xfId="48" applyNumberFormat="1" applyFont="1" applyFill="1" applyBorder="1" applyAlignment="1" applyProtection="1">
      <alignment horizontal="right" vertical="center" wrapText="1"/>
      <protection/>
    </xf>
    <xf numFmtId="3" fontId="3" fillId="24" borderId="50" xfId="48" applyNumberFormat="1" applyFont="1" applyFill="1" applyBorder="1" applyAlignment="1" applyProtection="1">
      <alignment horizontal="right" vertical="center" wrapText="1"/>
      <protection/>
    </xf>
    <xf numFmtId="3" fontId="3" fillId="24" borderId="29" xfId="48" applyNumberFormat="1" applyFont="1" applyFill="1" applyBorder="1" applyAlignment="1" applyProtection="1">
      <alignment horizontal="right" vertical="center" wrapText="1"/>
      <protection/>
    </xf>
    <xf numFmtId="3" fontId="3" fillId="24" borderId="11" xfId="48" applyNumberFormat="1" applyFont="1" applyFill="1" applyBorder="1" applyAlignment="1" applyProtection="1">
      <alignment horizontal="left" vertical="center" wrapText="1"/>
      <protection/>
    </xf>
    <xf numFmtId="3" fontId="3" fillId="24" borderId="50" xfId="48" applyNumberFormat="1" applyFont="1" applyFill="1" applyBorder="1" applyAlignment="1" applyProtection="1">
      <alignment horizontal="left" vertical="center" wrapText="1"/>
      <protection/>
    </xf>
    <xf numFmtId="0" fontId="2" fillId="0" borderId="16" xfId="48" applyFont="1" applyBorder="1" applyAlignment="1" applyProtection="1">
      <alignment horizontal="left" vertical="center" wrapText="1"/>
      <protection/>
    </xf>
    <xf numFmtId="3" fontId="3" fillId="19" borderId="11" xfId="48" applyNumberFormat="1" applyFont="1" applyFill="1" applyBorder="1" applyAlignment="1" applyProtection="1">
      <alignment horizontal="left" vertical="center" wrapText="1"/>
      <protection/>
    </xf>
    <xf numFmtId="3" fontId="3" fillId="19" borderId="50" xfId="48" applyNumberFormat="1" applyFont="1" applyFill="1" applyBorder="1" applyAlignment="1" applyProtection="1">
      <alignment horizontal="left" vertical="center" wrapText="1"/>
      <protection/>
    </xf>
    <xf numFmtId="0" fontId="4" fillId="19" borderId="10" xfId="48" applyFont="1" applyFill="1" applyBorder="1" applyAlignment="1" applyProtection="1">
      <alignment horizontal="left" vertical="center" wrapText="1"/>
      <protection/>
    </xf>
    <xf numFmtId="3" fontId="4" fillId="19" borderId="15" xfId="48" applyNumberFormat="1" applyFont="1" applyFill="1" applyBorder="1" applyAlignment="1" applyProtection="1">
      <alignment horizontal="right" vertical="center" wrapText="1"/>
      <protection/>
    </xf>
    <xf numFmtId="3" fontId="4" fillId="19" borderId="11" xfId="48" applyNumberFormat="1" applyFont="1" applyFill="1" applyBorder="1" applyAlignment="1" applyProtection="1">
      <alignment horizontal="left" vertical="center" wrapText="1"/>
      <protection/>
    </xf>
    <xf numFmtId="3" fontId="4" fillId="19" borderId="50" xfId="48" applyNumberFormat="1" applyFont="1" applyFill="1" applyBorder="1" applyAlignment="1" applyProtection="1">
      <alignment horizontal="left" vertical="center" wrapText="1"/>
      <protection/>
    </xf>
    <xf numFmtId="3" fontId="4" fillId="19" borderId="11" xfId="48" applyNumberFormat="1" applyFont="1" applyFill="1" applyBorder="1" applyAlignment="1" applyProtection="1">
      <alignment horizontal="right" vertical="center" wrapText="1"/>
      <protection/>
    </xf>
    <xf numFmtId="3" fontId="4" fillId="19" borderId="29" xfId="48" applyNumberFormat="1" applyFont="1" applyFill="1" applyBorder="1" applyAlignment="1" applyProtection="1">
      <alignment horizontal="right" vertical="center" wrapText="1"/>
      <protection/>
    </xf>
    <xf numFmtId="3" fontId="4" fillId="19" borderId="50" xfId="48" applyNumberFormat="1" applyFont="1" applyFill="1" applyBorder="1" applyAlignment="1" applyProtection="1">
      <alignment horizontal="right" vertical="center" wrapText="1"/>
      <protection/>
    </xf>
    <xf numFmtId="0" fontId="3" fillId="24" borderId="11" xfId="48" applyFont="1" applyFill="1" applyBorder="1" applyAlignment="1" applyProtection="1">
      <alignment horizontal="left" vertical="center" wrapText="1"/>
      <protection/>
    </xf>
    <xf numFmtId="0" fontId="3" fillId="24" borderId="50" xfId="48" applyFont="1" applyFill="1" applyBorder="1" applyAlignment="1" applyProtection="1">
      <alignment horizontal="left" vertical="center" wrapText="1"/>
      <protection/>
    </xf>
    <xf numFmtId="0" fontId="8" fillId="24" borderId="53" xfId="51" applyFont="1" applyFill="1" applyBorder="1" applyAlignment="1" applyProtection="1">
      <alignment horizontal="left" vertical="center" wrapText="1"/>
      <protection/>
    </xf>
    <xf numFmtId="0" fontId="0" fillId="24" borderId="15" xfId="51" applyFont="1" applyFill="1" applyBorder="1" applyAlignment="1" applyProtection="1">
      <alignment horizontal="left" vertical="center" wrapText="1"/>
      <protection/>
    </xf>
    <xf numFmtId="3" fontId="13" fillId="0" borderId="0" xfId="48" applyNumberFormat="1" applyFont="1" applyFill="1" applyBorder="1" applyAlignment="1">
      <alignment horizontal="left" vertical="center" wrapText="1"/>
      <protection/>
    </xf>
    <xf numFmtId="3" fontId="12" fillId="0" borderId="0" xfId="48" applyNumberFormat="1" applyFont="1" applyFill="1" applyBorder="1" applyAlignment="1">
      <alignment horizontal="left" vertical="center" wrapText="1"/>
      <protection/>
    </xf>
    <xf numFmtId="0" fontId="4" fillId="19" borderId="10" xfId="51" applyFont="1" applyFill="1" applyBorder="1" applyAlignment="1" applyProtection="1">
      <alignment horizontal="left" vertical="center" wrapText="1"/>
      <protection/>
    </xf>
    <xf numFmtId="0" fontId="8" fillId="24" borderId="10" xfId="51" applyFont="1" applyFill="1" applyBorder="1" applyAlignment="1" applyProtection="1">
      <alignment horizontal="left" vertical="center" wrapText="1"/>
      <protection/>
    </xf>
    <xf numFmtId="0" fontId="8" fillId="19" borderId="10" xfId="51" applyFont="1" applyFill="1" applyBorder="1" applyAlignment="1" applyProtection="1">
      <alignment horizontal="left" vertical="center" wrapText="1"/>
      <protection/>
    </xf>
    <xf numFmtId="0" fontId="8" fillId="19" borderId="53" xfId="51" applyFont="1" applyFill="1" applyBorder="1" applyAlignment="1" applyProtection="1">
      <alignment horizontal="left" vertical="center" wrapText="1"/>
      <protection/>
    </xf>
    <xf numFmtId="0" fontId="4" fillId="7" borderId="47" xfId="51" applyFont="1" applyFill="1" applyBorder="1" applyAlignment="1" applyProtection="1">
      <alignment horizontal="center" vertical="center" wrapText="1"/>
      <protection/>
    </xf>
    <xf numFmtId="3" fontId="11" fillId="25" borderId="55" xfId="48" applyNumberFormat="1" applyFont="1" applyFill="1" applyBorder="1" applyAlignment="1">
      <alignment horizontal="center" vertical="center" wrapText="1"/>
      <protection/>
    </xf>
    <xf numFmtId="3" fontId="11" fillId="25" borderId="56" xfId="48" applyNumberFormat="1" applyFont="1" applyFill="1" applyBorder="1" applyAlignment="1">
      <alignment horizontal="center" vertical="center" wrapText="1"/>
      <protection/>
    </xf>
    <xf numFmtId="3" fontId="39" fillId="24" borderId="57" xfId="48" applyNumberFormat="1" applyFont="1" applyFill="1" applyBorder="1" applyAlignment="1">
      <alignment horizontal="left"/>
      <protection/>
    </xf>
    <xf numFmtId="3" fontId="39" fillId="24" borderId="58" xfId="48" applyNumberFormat="1" applyFont="1" applyFill="1" applyBorder="1" applyAlignment="1">
      <alignment horizontal="left"/>
      <protection/>
    </xf>
    <xf numFmtId="0" fontId="2" fillId="24" borderId="0" xfId="51" applyFont="1" applyFill="1" applyBorder="1" applyAlignment="1" applyProtection="1">
      <alignment horizontal="left" wrapText="1"/>
      <protection/>
    </xf>
    <xf numFmtId="0" fontId="4" fillId="19" borderId="53" xfId="51" applyFont="1" applyFill="1" applyBorder="1" applyAlignment="1" applyProtection="1">
      <alignment horizontal="left" vertical="center" wrapText="1"/>
      <protection/>
    </xf>
    <xf numFmtId="0" fontId="4" fillId="24" borderId="53" xfId="51" applyFont="1" applyFill="1" applyBorder="1" applyAlignment="1" applyProtection="1">
      <alignment horizontal="left" vertical="center" wrapText="1"/>
      <protection/>
    </xf>
    <xf numFmtId="3" fontId="3" fillId="24" borderId="15" xfId="48" applyNumberFormat="1" applyFont="1" applyFill="1" applyBorder="1" applyAlignment="1" applyProtection="1">
      <alignment horizontal="left" vertical="center" wrapText="1"/>
      <protection/>
    </xf>
    <xf numFmtId="3" fontId="4" fillId="19" borderId="15" xfId="48" applyNumberFormat="1" applyFont="1" applyFill="1" applyBorder="1" applyAlignment="1" applyProtection="1">
      <alignment horizontal="left" vertical="center" wrapText="1"/>
      <protection/>
    </xf>
    <xf numFmtId="0" fontId="4" fillId="19" borderId="15" xfId="48" applyFont="1" applyFill="1" applyBorder="1" applyAlignment="1" applyProtection="1">
      <alignment horizontal="left" vertical="center" wrapText="1"/>
      <protection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ancování 2013 " xfId="47"/>
    <cellStyle name="normální_List1" xfId="48"/>
    <cellStyle name="normální_List1_Dodatek č. 1 Změna - Návrh rozpočtu na rok 2013" xfId="49"/>
    <cellStyle name="normální_Návrh příjmů zkrácená verze" xfId="50"/>
    <cellStyle name="normální_Objednávky veřejných služeb" xfId="51"/>
    <cellStyle name="normální_Objednávky VS 2012" xfId="52"/>
    <cellStyle name="normální_REKAp. 2013" xfId="53"/>
    <cellStyle name="normální_Soupis příloha návrhu rozpočtu 2012" xfId="54"/>
    <cellStyle name="normální_sportovní zařízení" xfId="55"/>
    <cellStyle name="Poznámka" xfId="56"/>
    <cellStyle name="Percent" xfId="57"/>
    <cellStyle name="Propojená buňka" xfId="58"/>
    <cellStyle name="Followed Hyperlink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ndi_pc\petra\Petra\Fond%20hospod&#225;&#345;sk&#233;ho%20rozvoj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ci\AppData\Local\Microsoft\Windows\Temporary%20Internet%20Files\Content.Outlook\R9EONXIS\RMO%20PO%2013.11.2012\I.&#269;ten&#237;\&#268;&#225;st%20A%20-%20I.%20&#269;ten&#237;%20-%20n&#225;vrh%20rozpo&#269;tu%20SMOl%20rok%202013%20upraven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rekapitaluce 2013"/>
      <sheetName val="financování"/>
      <sheetName val="příjmy 2013"/>
      <sheetName val="Schválené příjmy-HČ"/>
      <sheetName val="odbory"/>
      <sheetName val="mzdy vlast. zdroje"/>
      <sheetName val="Mzdy cizí zdroje"/>
      <sheetName val="Velké opravy"/>
      <sheetName val="členské přísp."/>
      <sheetName val="OVS"/>
      <sheetName val="PO školství"/>
      <sheetName val="PO"/>
      <sheetName val="PO inv. fondy"/>
      <sheetName val="Plány rozvoje"/>
      <sheetName val="Granty"/>
      <sheetName val="sport. zařízení"/>
      <sheetName val="Nezař. požad. SMOl"/>
      <sheetName val="Nezařaz. požad. společností"/>
      <sheetName val="očekávané dotace"/>
      <sheetName val="List2"/>
      <sheetName val="List3"/>
    </sheetNames>
    <sheetDataSet>
      <sheetData sheetId="4">
        <row r="59">
          <cell r="F59" t="str">
            <v>13 290</v>
          </cell>
          <cell r="G59">
            <v>0</v>
          </cell>
        </row>
        <row r="152">
          <cell r="F152" t="str">
            <v>2 032</v>
          </cell>
          <cell r="G152">
            <v>0</v>
          </cell>
        </row>
        <row r="203">
          <cell r="F203" t="str">
            <v>2 817</v>
          </cell>
          <cell r="G203">
            <v>0</v>
          </cell>
        </row>
        <row r="219">
          <cell r="F219" t="str">
            <v>59</v>
          </cell>
          <cell r="G219">
            <v>0</v>
          </cell>
        </row>
        <row r="271">
          <cell r="F271" t="str">
            <v>81 022</v>
          </cell>
          <cell r="G271">
            <v>0</v>
          </cell>
        </row>
        <row r="281">
          <cell r="F281" t="str">
            <v>21</v>
          </cell>
          <cell r="G281">
            <v>0</v>
          </cell>
        </row>
        <row r="331">
          <cell r="F331" t="str">
            <v>7 305</v>
          </cell>
          <cell r="G331">
            <v>0</v>
          </cell>
        </row>
        <row r="358">
          <cell r="F358" t="str">
            <v>1 502</v>
          </cell>
          <cell r="G358">
            <v>0</v>
          </cell>
        </row>
        <row r="385">
          <cell r="F385" t="str">
            <v>452</v>
          </cell>
          <cell r="G385">
            <v>0</v>
          </cell>
        </row>
        <row r="495">
          <cell r="F495" t="str">
            <v>17 191</v>
          </cell>
          <cell r="G495">
            <v>0</v>
          </cell>
        </row>
        <row r="530">
          <cell r="F530" t="str">
            <v>24 122</v>
          </cell>
          <cell r="G530">
            <v>0</v>
          </cell>
        </row>
        <row r="649">
          <cell r="F649" t="str">
            <v>4 984</v>
          </cell>
          <cell r="G649">
            <v>0</v>
          </cell>
        </row>
        <row r="1044">
          <cell r="F1044" t="str">
            <v>6 624</v>
          </cell>
          <cell r="G1044">
            <v>0</v>
          </cell>
        </row>
        <row r="1195">
          <cell r="G1195">
            <v>0</v>
          </cell>
        </row>
        <row r="1226">
          <cell r="F1226" t="str">
            <v>10 100</v>
          </cell>
          <cell r="G1226">
            <v>0</v>
          </cell>
        </row>
        <row r="1295">
          <cell r="F1295" t="str">
            <v>26 051</v>
          </cell>
          <cell r="G1295">
            <v>0</v>
          </cell>
        </row>
        <row r="1328">
          <cell r="F1328" t="str">
            <v>9 171</v>
          </cell>
          <cell r="G1328">
            <v>0</v>
          </cell>
        </row>
        <row r="1430">
          <cell r="F1430" t="str">
            <v>3 158</v>
          </cell>
          <cell r="G1430">
            <v>0</v>
          </cell>
        </row>
        <row r="1462">
          <cell r="F1462" t="str">
            <v>2 535</v>
          </cell>
          <cell r="G14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49"/>
  <sheetViews>
    <sheetView zoomScalePageLayoutView="0" workbookViewId="0" topLeftCell="A4">
      <selection activeCell="E44" sqref="E44"/>
    </sheetView>
  </sheetViews>
  <sheetFormatPr defaultColWidth="9.140625" defaultRowHeight="12.75"/>
  <cols>
    <col min="1" max="1" width="15.00390625" style="160" customWidth="1"/>
    <col min="2" max="7" width="9.140625" style="160" customWidth="1"/>
    <col min="8" max="8" width="23.28125" style="160" customWidth="1"/>
    <col min="9" max="16384" width="9.140625" style="160" customWidth="1"/>
  </cols>
  <sheetData>
    <row r="3" spans="1:7" ht="15">
      <c r="A3" s="219"/>
      <c r="B3" s="161"/>
      <c r="C3" s="161"/>
      <c r="D3" s="161"/>
      <c r="E3" s="161"/>
      <c r="F3" s="161"/>
      <c r="G3" s="161"/>
    </row>
    <row r="4" spans="1:7" ht="15">
      <c r="A4" s="219" t="s">
        <v>284</v>
      </c>
      <c r="B4" s="161"/>
      <c r="C4" s="161"/>
      <c r="D4" s="161"/>
      <c r="E4" s="161"/>
      <c r="F4" s="161"/>
      <c r="G4" s="161"/>
    </row>
    <row r="5" spans="1:7" ht="15">
      <c r="A5" s="219"/>
      <c r="B5" s="161"/>
      <c r="C5" s="161"/>
      <c r="D5" s="161"/>
      <c r="E5" s="161"/>
      <c r="F5" s="161"/>
      <c r="G5" s="161"/>
    </row>
    <row r="6" spans="1:8" ht="14.25">
      <c r="A6" s="161" t="s">
        <v>285</v>
      </c>
      <c r="B6" s="161" t="s">
        <v>305</v>
      </c>
      <c r="C6" s="161"/>
      <c r="D6" s="161"/>
      <c r="E6" s="161"/>
      <c r="F6" s="161"/>
      <c r="G6" s="161"/>
      <c r="H6" s="265"/>
    </row>
    <row r="7" spans="1:8" ht="14.25">
      <c r="A7" s="161"/>
      <c r="B7" s="161" t="s">
        <v>373</v>
      </c>
      <c r="C7" s="161"/>
      <c r="D7" s="161"/>
      <c r="E7" s="161"/>
      <c r="F7" s="161"/>
      <c r="G7" s="161"/>
      <c r="H7" s="265"/>
    </row>
    <row r="8" spans="1:8" ht="14.25">
      <c r="A8" s="161"/>
      <c r="B8" s="161"/>
      <c r="C8" s="161"/>
      <c r="D8" s="161"/>
      <c r="E8" s="161"/>
      <c r="F8" s="161"/>
      <c r="G8" s="161"/>
      <c r="H8" s="265"/>
    </row>
    <row r="9" spans="1:8" ht="14.25">
      <c r="A9" s="161" t="s">
        <v>286</v>
      </c>
      <c r="B9" s="161" t="s">
        <v>306</v>
      </c>
      <c r="C9" s="161"/>
      <c r="D9" s="161"/>
      <c r="E9" s="161"/>
      <c r="F9" s="161"/>
      <c r="G9" s="161"/>
      <c r="H9" s="265"/>
    </row>
    <row r="10" spans="1:8" ht="14.25">
      <c r="A10" s="161"/>
      <c r="B10" s="161" t="s">
        <v>374</v>
      </c>
      <c r="C10" s="161"/>
      <c r="D10" s="161"/>
      <c r="E10" s="161"/>
      <c r="F10" s="161"/>
      <c r="G10" s="161"/>
      <c r="H10" s="265"/>
    </row>
    <row r="11" spans="1:8" ht="14.25">
      <c r="A11" s="161"/>
      <c r="B11" s="161"/>
      <c r="C11" s="161"/>
      <c r="D11" s="161"/>
      <c r="E11" s="161"/>
      <c r="F11" s="161"/>
      <c r="G11" s="161"/>
      <c r="H11" s="265"/>
    </row>
    <row r="12" spans="1:8" ht="14.25">
      <c r="A12" s="161" t="s">
        <v>344</v>
      </c>
      <c r="B12" s="161" t="s">
        <v>364</v>
      </c>
      <c r="C12" s="161"/>
      <c r="D12" s="161"/>
      <c r="E12" s="161"/>
      <c r="F12" s="161"/>
      <c r="G12" s="161"/>
      <c r="H12" s="265"/>
    </row>
    <row r="13" spans="1:8" ht="14.25">
      <c r="A13" s="161"/>
      <c r="B13" s="161" t="s">
        <v>375</v>
      </c>
      <c r="C13" s="161"/>
      <c r="D13" s="161"/>
      <c r="E13" s="161"/>
      <c r="F13" s="161"/>
      <c r="G13" s="161"/>
      <c r="H13" s="265"/>
    </row>
    <row r="14" spans="1:8" ht="14.25">
      <c r="A14" s="161"/>
      <c r="B14" s="161"/>
      <c r="C14" s="161"/>
      <c r="D14" s="161"/>
      <c r="E14" s="161"/>
      <c r="F14" s="161"/>
      <c r="G14" s="161"/>
      <c r="H14" s="265"/>
    </row>
    <row r="15" spans="1:8" ht="14.25">
      <c r="A15" s="161" t="s">
        <v>345</v>
      </c>
      <c r="B15" s="161" t="s">
        <v>307</v>
      </c>
      <c r="C15" s="161"/>
      <c r="D15" s="161"/>
      <c r="E15" s="161"/>
      <c r="F15" s="161"/>
      <c r="G15" s="161"/>
      <c r="H15" s="265"/>
    </row>
    <row r="16" spans="1:8" ht="14.25">
      <c r="A16" s="161"/>
      <c r="B16" s="161" t="s">
        <v>308</v>
      </c>
      <c r="C16" s="161"/>
      <c r="D16" s="161"/>
      <c r="E16" s="161"/>
      <c r="F16" s="161"/>
      <c r="G16" s="161"/>
      <c r="H16" s="265"/>
    </row>
    <row r="17" spans="1:8" ht="14.25">
      <c r="A17" s="161"/>
      <c r="B17" s="161"/>
      <c r="C17" s="161"/>
      <c r="D17" s="161"/>
      <c r="E17" s="161"/>
      <c r="F17" s="161"/>
      <c r="G17" s="161"/>
      <c r="H17" s="265"/>
    </row>
    <row r="18" spans="1:8" ht="14.25">
      <c r="A18" s="161" t="s">
        <v>287</v>
      </c>
      <c r="B18" s="161" t="s">
        <v>309</v>
      </c>
      <c r="C18" s="161"/>
      <c r="D18" s="161"/>
      <c r="E18" s="161"/>
      <c r="F18" s="161"/>
      <c r="G18" s="161"/>
      <c r="H18" s="265"/>
    </row>
    <row r="19" spans="1:8" ht="14.25">
      <c r="A19" s="161"/>
      <c r="B19" s="161" t="s">
        <v>330</v>
      </c>
      <c r="C19" s="161"/>
      <c r="D19" s="161"/>
      <c r="E19" s="161"/>
      <c r="F19" s="161"/>
      <c r="G19" s="161"/>
      <c r="H19" s="265"/>
    </row>
    <row r="20" spans="1:8" ht="14.25">
      <c r="A20" s="161"/>
      <c r="B20" s="161"/>
      <c r="C20" s="161"/>
      <c r="D20" s="161"/>
      <c r="E20" s="161"/>
      <c r="F20" s="161"/>
      <c r="G20" s="161"/>
      <c r="H20" s="265"/>
    </row>
    <row r="21" spans="1:8" ht="14.25">
      <c r="A21" s="161" t="s">
        <v>158</v>
      </c>
      <c r="B21" s="161" t="s">
        <v>310</v>
      </c>
      <c r="C21" s="161"/>
      <c r="D21" s="161"/>
      <c r="E21" s="161"/>
      <c r="F21" s="161"/>
      <c r="G21" s="161"/>
      <c r="H21" s="265"/>
    </row>
    <row r="22" spans="1:8" ht="14.25">
      <c r="A22" s="161"/>
      <c r="B22" s="161" t="s">
        <v>311</v>
      </c>
      <c r="C22" s="161"/>
      <c r="D22" s="161"/>
      <c r="E22" s="161"/>
      <c r="F22" s="161"/>
      <c r="G22" s="161"/>
      <c r="H22" s="265"/>
    </row>
    <row r="23" spans="1:8" ht="14.25">
      <c r="A23" s="161"/>
      <c r="B23" s="161"/>
      <c r="C23" s="161"/>
      <c r="D23" s="161"/>
      <c r="E23" s="161"/>
      <c r="F23" s="161"/>
      <c r="G23" s="161"/>
      <c r="H23" s="265"/>
    </row>
    <row r="24" spans="1:8" ht="14.25">
      <c r="A24" s="161" t="s">
        <v>288</v>
      </c>
      <c r="B24" s="161" t="s">
        <v>312</v>
      </c>
      <c r="C24" s="161"/>
      <c r="D24" s="161"/>
      <c r="E24" s="161"/>
      <c r="F24" s="161"/>
      <c r="G24" s="161"/>
      <c r="H24" s="265"/>
    </row>
    <row r="25" spans="1:8" ht="14.25">
      <c r="A25" s="161"/>
      <c r="B25" s="161" t="s">
        <v>313</v>
      </c>
      <c r="C25" s="161"/>
      <c r="D25" s="161"/>
      <c r="E25" s="161"/>
      <c r="F25" s="161"/>
      <c r="G25" s="161"/>
      <c r="H25" s="265"/>
    </row>
    <row r="26" spans="1:8" ht="14.25">
      <c r="A26" s="161"/>
      <c r="B26" s="161"/>
      <c r="C26" s="161"/>
      <c r="D26" s="161"/>
      <c r="E26" s="161"/>
      <c r="F26" s="161"/>
      <c r="G26" s="161"/>
      <c r="H26" s="265"/>
    </row>
    <row r="27" spans="1:8" ht="14.25">
      <c r="A27" s="161" t="s">
        <v>289</v>
      </c>
      <c r="B27" s="161" t="s">
        <v>314</v>
      </c>
      <c r="C27" s="161"/>
      <c r="D27" s="161"/>
      <c r="E27" s="161"/>
      <c r="F27" s="161"/>
      <c r="G27" s="161"/>
      <c r="H27" s="265"/>
    </row>
    <row r="28" spans="1:8" ht="14.25">
      <c r="A28" s="161"/>
      <c r="B28" s="161" t="s">
        <v>315</v>
      </c>
      <c r="C28" s="161"/>
      <c r="D28" s="161"/>
      <c r="E28" s="161"/>
      <c r="F28" s="161"/>
      <c r="G28" s="161"/>
      <c r="H28" s="265"/>
    </row>
    <row r="29" spans="1:8" ht="14.25">
      <c r="A29" s="161"/>
      <c r="B29" s="161"/>
      <c r="C29" s="161"/>
      <c r="D29" s="161"/>
      <c r="E29" s="161"/>
      <c r="F29" s="161"/>
      <c r="G29" s="161"/>
      <c r="H29" s="265"/>
    </row>
    <row r="30" spans="1:8" ht="14.25">
      <c r="A30" s="161" t="s">
        <v>159</v>
      </c>
      <c r="B30" s="161" t="s">
        <v>316</v>
      </c>
      <c r="C30" s="161"/>
      <c r="D30" s="161"/>
      <c r="E30" s="161"/>
      <c r="F30" s="161"/>
      <c r="G30" s="161"/>
      <c r="H30" s="265"/>
    </row>
    <row r="31" spans="1:21" ht="14.25">
      <c r="A31" s="161"/>
      <c r="B31" s="161" t="s">
        <v>317</v>
      </c>
      <c r="C31" s="161"/>
      <c r="D31" s="161"/>
      <c r="E31" s="161"/>
      <c r="F31" s="161"/>
      <c r="G31" s="161"/>
      <c r="H31" s="265"/>
      <c r="Q31" s="161"/>
      <c r="R31" s="161"/>
      <c r="S31" s="161"/>
      <c r="T31" s="161"/>
      <c r="U31" s="161"/>
    </row>
    <row r="32" spans="1:21" ht="14.25">
      <c r="A32" s="161"/>
      <c r="B32" s="161"/>
      <c r="C32" s="161"/>
      <c r="D32" s="161"/>
      <c r="E32" s="161"/>
      <c r="F32" s="161"/>
      <c r="G32" s="161"/>
      <c r="H32" s="265"/>
      <c r="Q32" s="161"/>
      <c r="R32" s="161"/>
      <c r="S32" s="161"/>
      <c r="T32" s="161"/>
      <c r="U32" s="161"/>
    </row>
    <row r="33" spans="1:8" ht="14.25">
      <c r="A33" s="161" t="s">
        <v>290</v>
      </c>
      <c r="B33" s="161" t="s">
        <v>318</v>
      </c>
      <c r="C33" s="161"/>
      <c r="D33" s="161"/>
      <c r="E33" s="161"/>
      <c r="F33" s="161"/>
      <c r="G33" s="161"/>
      <c r="H33" s="265"/>
    </row>
    <row r="34" spans="1:8" ht="14.25">
      <c r="A34" s="161"/>
      <c r="B34" s="161" t="s">
        <v>319</v>
      </c>
      <c r="C34" s="161"/>
      <c r="D34" s="161"/>
      <c r="E34" s="161"/>
      <c r="F34" s="161"/>
      <c r="G34" s="161"/>
      <c r="H34" s="265"/>
    </row>
    <row r="35" spans="1:20" ht="14.25">
      <c r="A35" s="161"/>
      <c r="B35" s="161"/>
      <c r="C35" s="161"/>
      <c r="D35" s="161"/>
      <c r="E35" s="161"/>
      <c r="F35" s="161"/>
      <c r="G35" s="161"/>
      <c r="H35" s="265"/>
      <c r="Q35" s="161"/>
      <c r="R35" s="161"/>
      <c r="S35" s="161"/>
      <c r="T35" s="161"/>
    </row>
    <row r="36" spans="1:8" ht="14.25">
      <c r="A36" s="161" t="s">
        <v>328</v>
      </c>
      <c r="B36" s="161" t="s">
        <v>320</v>
      </c>
      <c r="C36" s="161"/>
      <c r="D36" s="161"/>
      <c r="E36" s="161"/>
      <c r="F36" s="161"/>
      <c r="G36" s="161"/>
      <c r="H36" s="265"/>
    </row>
    <row r="37" spans="1:8" ht="14.25">
      <c r="A37" s="161"/>
      <c r="B37" s="161" t="s">
        <v>321</v>
      </c>
      <c r="C37" s="161"/>
      <c r="D37" s="161"/>
      <c r="E37" s="161"/>
      <c r="F37" s="161"/>
      <c r="G37" s="161"/>
      <c r="H37" s="265"/>
    </row>
    <row r="38" spans="1:8" ht="14.25">
      <c r="A38" s="161"/>
      <c r="B38" s="161"/>
      <c r="C38" s="161"/>
      <c r="D38" s="161"/>
      <c r="E38" s="161"/>
      <c r="F38" s="161"/>
      <c r="G38" s="161"/>
      <c r="H38" s="265"/>
    </row>
    <row r="39" spans="1:8" ht="14.25">
      <c r="A39" s="161"/>
      <c r="B39" s="161"/>
      <c r="C39" s="161"/>
      <c r="D39" s="161"/>
      <c r="E39" s="161"/>
      <c r="F39" s="161"/>
      <c r="G39" s="161"/>
      <c r="H39" s="265"/>
    </row>
    <row r="40" spans="1:8" ht="14.25">
      <c r="A40" s="161"/>
      <c r="B40" s="161"/>
      <c r="C40" s="161"/>
      <c r="D40" s="161"/>
      <c r="E40" s="161"/>
      <c r="F40" s="161"/>
      <c r="G40" s="161"/>
      <c r="H40" s="265"/>
    </row>
    <row r="41" spans="1:8" ht="14.25">
      <c r="A41" s="161"/>
      <c r="B41" s="161"/>
      <c r="C41" s="161"/>
      <c r="D41" s="161"/>
      <c r="E41" s="161"/>
      <c r="F41" s="161"/>
      <c r="G41" s="161"/>
      <c r="H41" s="265"/>
    </row>
    <row r="42" spans="1:8" ht="15">
      <c r="A42" s="219" t="s">
        <v>291</v>
      </c>
      <c r="B42" s="161"/>
      <c r="C42" s="161"/>
      <c r="D42" s="161"/>
      <c r="E42" s="161"/>
      <c r="F42" s="161"/>
      <c r="G42" s="161"/>
      <c r="H42" s="265"/>
    </row>
    <row r="43" spans="1:8" ht="15">
      <c r="A43" s="219"/>
      <c r="B43" s="161" t="s">
        <v>953</v>
      </c>
      <c r="C43" s="161"/>
      <c r="D43" s="161"/>
      <c r="E43" s="161"/>
      <c r="F43" s="265"/>
      <c r="G43" s="265"/>
      <c r="H43" s="265"/>
    </row>
    <row r="44" spans="1:8" ht="15">
      <c r="A44" s="219"/>
      <c r="B44" s="161" t="s">
        <v>952</v>
      </c>
      <c r="C44" s="161"/>
      <c r="D44" s="161"/>
      <c r="E44" s="161"/>
      <c r="F44" s="265"/>
      <c r="G44" s="265"/>
      <c r="H44" s="265"/>
    </row>
    <row r="45" spans="1:8" ht="15">
      <c r="A45" s="219"/>
      <c r="B45" s="161"/>
      <c r="C45" s="161"/>
      <c r="D45" s="161"/>
      <c r="E45" s="161"/>
      <c r="F45" s="265"/>
      <c r="G45" s="265"/>
      <c r="H45" s="265"/>
    </row>
    <row r="46" spans="1:8" ht="14.25">
      <c r="A46" s="265"/>
      <c r="B46" s="161"/>
      <c r="C46" s="161"/>
      <c r="D46" s="161"/>
      <c r="E46" s="161"/>
      <c r="F46" s="265"/>
      <c r="G46" s="265"/>
      <c r="H46" s="265"/>
    </row>
    <row r="48" spans="2:5" ht="14.25">
      <c r="B48" s="161"/>
      <c r="C48" s="161"/>
      <c r="D48" s="161"/>
      <c r="E48" s="161"/>
    </row>
    <row r="49" spans="2:5" ht="14.25">
      <c r="B49" s="161"/>
      <c r="C49" s="161"/>
      <c r="D49" s="161"/>
      <c r="E49" s="161"/>
    </row>
  </sheetData>
  <sheetProtection/>
  <printOptions/>
  <pageMargins left="0.75" right="0.75" top="1.9" bottom="0.53" header="0.91" footer="0.4921259845"/>
  <pageSetup horizontalDpi="600" verticalDpi="600" orientation="portrait" paperSize="9" scale="90" r:id="rId1"/>
  <headerFooter alignWithMargins="0">
    <oddHeader xml:space="preserve">&amp;C&amp;"Arial,Tučné"&amp;14Schválený rozpočet 
STATUTÁRNÍHO MĚSTA OLOMOUCE
 na rok 2013
Soupis příloh: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AC1" sqref="AC1"/>
    </sheetView>
  </sheetViews>
  <sheetFormatPr defaultColWidth="9.140625" defaultRowHeight="12.75"/>
  <cols>
    <col min="4" max="4" width="12.7109375" style="0" customWidth="1"/>
    <col min="5" max="5" width="11.140625" style="129" hidden="1" customWidth="1"/>
    <col min="6" max="6" width="9.140625" style="129" hidden="1" customWidth="1"/>
    <col min="7" max="7" width="11.7109375" style="129" hidden="1" customWidth="1"/>
    <col min="8" max="8" width="9.140625" style="129" hidden="1" customWidth="1"/>
    <col min="9" max="9" width="11.140625" style="129" hidden="1" customWidth="1"/>
    <col min="10" max="10" width="0.13671875" style="129" hidden="1" customWidth="1"/>
    <col min="11" max="11" width="9.140625" style="129" hidden="1" customWidth="1"/>
    <col min="12" max="12" width="13.57421875" style="129" hidden="1" customWidth="1"/>
    <col min="13" max="13" width="11.28125" style="129" hidden="1" customWidth="1"/>
    <col min="14" max="14" width="9.140625" style="129" hidden="1" customWidth="1"/>
    <col min="15" max="16" width="0" style="129" hidden="1" customWidth="1"/>
    <col min="17" max="17" width="12.421875" style="129" customWidth="1"/>
    <col min="22" max="22" width="15.140625" style="0" customWidth="1"/>
  </cols>
  <sheetData>
    <row r="1" spans="1:22" ht="50.25" customHeight="1" thickBot="1">
      <c r="A1" s="261" t="s">
        <v>181</v>
      </c>
      <c r="B1" s="357" t="s">
        <v>182</v>
      </c>
      <c r="C1" s="357"/>
      <c r="D1" s="357"/>
      <c r="E1" s="358" t="s">
        <v>207</v>
      </c>
      <c r="F1" s="358"/>
      <c r="G1" s="358" t="s">
        <v>233</v>
      </c>
      <c r="H1" s="358"/>
      <c r="I1" s="358" t="s">
        <v>161</v>
      </c>
      <c r="J1" s="358"/>
      <c r="K1" s="358"/>
      <c r="L1" s="262" t="s">
        <v>234</v>
      </c>
      <c r="M1" s="358" t="s">
        <v>163</v>
      </c>
      <c r="N1" s="358"/>
      <c r="O1" s="262" t="s">
        <v>171</v>
      </c>
      <c r="P1" s="262" t="s">
        <v>294</v>
      </c>
      <c r="Q1" s="262" t="s">
        <v>460</v>
      </c>
      <c r="R1" s="357" t="s">
        <v>368</v>
      </c>
      <c r="S1" s="357"/>
      <c r="T1" s="357"/>
      <c r="U1" s="357"/>
      <c r="V1" s="357"/>
    </row>
    <row r="2" spans="1:22" s="2" customFormat="1" ht="19.5" customHeight="1">
      <c r="A2" s="356" t="s">
        <v>183</v>
      </c>
      <c r="B2" s="356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"/>
      <c r="S2" s="1"/>
      <c r="T2" s="1"/>
      <c r="U2" s="1"/>
      <c r="V2" s="1"/>
    </row>
    <row r="3" spans="1:22" s="2" customFormat="1" ht="19.5" customHeight="1">
      <c r="A3" s="352" t="s">
        <v>33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</row>
    <row r="4" spans="1:22" s="2" customFormat="1" ht="99" customHeight="1">
      <c r="A4" s="3" t="s">
        <v>180</v>
      </c>
      <c r="B4" s="353" t="s">
        <v>166</v>
      </c>
      <c r="C4" s="353"/>
      <c r="D4" s="353"/>
      <c r="E4" s="354" t="s">
        <v>179</v>
      </c>
      <c r="F4" s="354"/>
      <c r="G4" s="364" t="s">
        <v>179</v>
      </c>
      <c r="H4" s="365"/>
      <c r="I4" s="364" t="s">
        <v>179</v>
      </c>
      <c r="J4" s="366"/>
      <c r="K4" s="365"/>
      <c r="L4" s="67">
        <v>7980</v>
      </c>
      <c r="M4" s="367"/>
      <c r="N4" s="368"/>
      <c r="O4" s="135">
        <f>7980+M4</f>
        <v>7980</v>
      </c>
      <c r="P4" s="135"/>
      <c r="Q4" s="203">
        <f>O4+P4</f>
        <v>7980</v>
      </c>
      <c r="R4" s="369" t="s">
        <v>349</v>
      </c>
      <c r="S4" s="369"/>
      <c r="T4" s="369"/>
      <c r="U4" s="369"/>
      <c r="V4" s="369"/>
    </row>
    <row r="5" spans="1:22" s="2" customFormat="1" ht="19.5" customHeight="1">
      <c r="A5" s="360" t="s">
        <v>124</v>
      </c>
      <c r="B5" s="360"/>
      <c r="C5" s="360"/>
      <c r="D5" s="360"/>
      <c r="E5" s="354" t="s">
        <v>179</v>
      </c>
      <c r="F5" s="354"/>
      <c r="G5" s="364" t="s">
        <v>179</v>
      </c>
      <c r="H5" s="365"/>
      <c r="I5" s="364" t="s">
        <v>179</v>
      </c>
      <c r="J5" s="366"/>
      <c r="K5" s="365"/>
      <c r="L5" s="67">
        <v>7980</v>
      </c>
      <c r="M5" s="367">
        <f>M4</f>
        <v>0</v>
      </c>
      <c r="N5" s="368"/>
      <c r="O5" s="135">
        <f>O4</f>
        <v>7980</v>
      </c>
      <c r="P5" s="135">
        <f>P4</f>
        <v>0</v>
      </c>
      <c r="Q5" s="203">
        <f>O5+P5</f>
        <v>7980</v>
      </c>
      <c r="R5" s="355" t="s">
        <v>180</v>
      </c>
      <c r="S5" s="355"/>
      <c r="T5" s="355"/>
      <c r="U5" s="355"/>
      <c r="V5" s="355"/>
    </row>
    <row r="6" spans="1:22" s="2" customFormat="1" ht="19.5" customHeight="1">
      <c r="A6" s="345" t="s">
        <v>235</v>
      </c>
      <c r="B6" s="345"/>
      <c r="C6" s="345"/>
      <c r="D6" s="345"/>
      <c r="E6" s="346" t="s">
        <v>179</v>
      </c>
      <c r="F6" s="346"/>
      <c r="G6" s="361" t="s">
        <v>179</v>
      </c>
      <c r="H6" s="362"/>
      <c r="I6" s="361" t="s">
        <v>179</v>
      </c>
      <c r="J6" s="363"/>
      <c r="K6" s="362"/>
      <c r="L6" s="68">
        <v>7980</v>
      </c>
      <c r="M6" s="370">
        <f>M5</f>
        <v>0</v>
      </c>
      <c r="N6" s="371"/>
      <c r="O6" s="4">
        <f>O5</f>
        <v>7980</v>
      </c>
      <c r="P6" s="4">
        <f>P5</f>
        <v>0</v>
      </c>
      <c r="Q6" s="205">
        <f>O6+P6</f>
        <v>7980</v>
      </c>
      <c r="R6" s="348" t="s">
        <v>180</v>
      </c>
      <c r="S6" s="348"/>
      <c r="T6" s="348"/>
      <c r="U6" s="348"/>
      <c r="V6" s="348"/>
    </row>
  </sheetData>
  <sheetProtection/>
  <mergeCells count="26">
    <mergeCell ref="M1:N1"/>
    <mergeCell ref="R1:V1"/>
    <mergeCell ref="B1:D1"/>
    <mergeCell ref="E1:F1"/>
    <mergeCell ref="G1:H1"/>
    <mergeCell ref="I1:K1"/>
    <mergeCell ref="M6:N6"/>
    <mergeCell ref="R6:V6"/>
    <mergeCell ref="M5:N5"/>
    <mergeCell ref="R5:V5"/>
    <mergeCell ref="A2:B2"/>
    <mergeCell ref="A3:V3"/>
    <mergeCell ref="B4:D4"/>
    <mergeCell ref="E4:F4"/>
    <mergeCell ref="G4:H4"/>
    <mergeCell ref="I4:K4"/>
    <mergeCell ref="M4:N4"/>
    <mergeCell ref="R4:V4"/>
    <mergeCell ref="G6:H6"/>
    <mergeCell ref="I6:K6"/>
    <mergeCell ref="A5:D5"/>
    <mergeCell ref="E5:F5"/>
    <mergeCell ref="A6:D6"/>
    <mergeCell ref="E6:F6"/>
    <mergeCell ref="G5:H5"/>
    <mergeCell ref="I5:K5"/>
  </mergeCells>
  <printOptions/>
  <pageMargins left="1.07" right="0.3" top="1.67" bottom="1" header="0.94" footer="0.4921259845"/>
  <pageSetup firstPageNumber="13" useFirstPageNumber="1" horizontalDpi="600" verticalDpi="600" orientation="portrait" paperSize="9" scale="80" r:id="rId1"/>
  <headerFooter alignWithMargins="0">
    <oddHeader>&amp;C&amp;"Arial,Tučné"&amp;12Schválený rozpočet rok 2013 - plány rozvoje nad 1 mil. Kč&amp;R&amp;"Arial,Tučné"Příloha č. 7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A1">
      <selection activeCell="C39" sqref="C39"/>
    </sheetView>
  </sheetViews>
  <sheetFormatPr defaultColWidth="9.140625" defaultRowHeight="12.75"/>
  <cols>
    <col min="4" max="4" width="28.140625" style="0" customWidth="1"/>
    <col min="5" max="5" width="12.00390625" style="129" hidden="1" customWidth="1"/>
    <col min="6" max="6" width="9.140625" style="129" hidden="1" customWidth="1"/>
    <col min="7" max="7" width="10.57421875" style="129" hidden="1" customWidth="1"/>
    <col min="8" max="8" width="4.00390625" style="129" hidden="1" customWidth="1"/>
    <col min="9" max="9" width="0" style="129" hidden="1" customWidth="1"/>
    <col min="10" max="10" width="1.8515625" style="129" hidden="1" customWidth="1"/>
    <col min="11" max="11" width="0.2890625" style="129" hidden="1" customWidth="1"/>
    <col min="12" max="12" width="13.00390625" style="129" hidden="1" customWidth="1"/>
    <col min="13" max="14" width="11.140625" style="129" hidden="1" customWidth="1"/>
    <col min="15" max="15" width="9.140625" style="0" hidden="1" customWidth="1"/>
    <col min="16" max="16" width="0" style="0" hidden="1" customWidth="1"/>
    <col min="17" max="17" width="11.421875" style="0" customWidth="1"/>
    <col min="22" max="22" width="14.7109375" style="0" customWidth="1"/>
    <col min="25" max="25" width="15.421875" style="0" customWidth="1"/>
  </cols>
  <sheetData>
    <row r="1" spans="1:22" ht="53.25" customHeight="1" thickBot="1">
      <c r="A1" s="261" t="s">
        <v>181</v>
      </c>
      <c r="B1" s="357" t="s">
        <v>182</v>
      </c>
      <c r="C1" s="357"/>
      <c r="D1" s="357"/>
      <c r="E1" s="358" t="s">
        <v>69</v>
      </c>
      <c r="F1" s="358"/>
      <c r="G1" s="358" t="s">
        <v>205</v>
      </c>
      <c r="H1" s="358"/>
      <c r="I1" s="358" t="s">
        <v>70</v>
      </c>
      <c r="J1" s="358"/>
      <c r="K1" s="358"/>
      <c r="L1" s="262" t="s">
        <v>206</v>
      </c>
      <c r="M1" s="262" t="s">
        <v>71</v>
      </c>
      <c r="N1" s="357" t="s">
        <v>171</v>
      </c>
      <c r="O1" s="357"/>
      <c r="P1" s="262" t="s">
        <v>294</v>
      </c>
      <c r="Q1" s="262" t="s">
        <v>460</v>
      </c>
      <c r="R1" s="357" t="s">
        <v>368</v>
      </c>
      <c r="S1" s="357"/>
      <c r="T1" s="357"/>
      <c r="U1" s="357"/>
      <c r="V1" s="357"/>
    </row>
    <row r="2" spans="1:22" ht="12.75">
      <c r="A2" s="359" t="s">
        <v>183</v>
      </c>
      <c r="B2" s="359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"/>
      <c r="P2" s="1"/>
      <c r="Q2" s="1"/>
      <c r="R2" s="1"/>
      <c r="S2" s="1"/>
      <c r="T2" s="1"/>
      <c r="U2" s="1"/>
      <c r="V2" s="1"/>
    </row>
    <row r="3" spans="1:22" s="2" customFormat="1" ht="19.5" customHeight="1">
      <c r="A3" s="351" t="s">
        <v>172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22" s="2" customFormat="1" ht="19.5" customHeight="1">
      <c r="A4" s="352" t="s">
        <v>201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s="2" customFormat="1" ht="19.5" customHeight="1">
      <c r="A5" s="3" t="s">
        <v>180</v>
      </c>
      <c r="B5" s="353" t="s">
        <v>452</v>
      </c>
      <c r="C5" s="353"/>
      <c r="D5" s="353"/>
      <c r="E5" s="354" t="s">
        <v>197</v>
      </c>
      <c r="F5" s="354"/>
      <c r="G5" s="364" t="s">
        <v>197</v>
      </c>
      <c r="H5" s="365"/>
      <c r="I5" s="364" t="s">
        <v>175</v>
      </c>
      <c r="J5" s="366"/>
      <c r="K5" s="365"/>
      <c r="L5" s="67" t="s">
        <v>200</v>
      </c>
      <c r="M5" s="67"/>
      <c r="N5" s="379">
        <f>L5+M5</f>
        <v>320</v>
      </c>
      <c r="O5" s="380"/>
      <c r="P5" s="145"/>
      <c r="Q5" s="203">
        <f aca="true" t="shared" si="0" ref="Q5:Q11">N5+P5</f>
        <v>320</v>
      </c>
      <c r="R5" s="355" t="s">
        <v>453</v>
      </c>
      <c r="S5" s="355"/>
      <c r="T5" s="355"/>
      <c r="U5" s="355"/>
      <c r="V5" s="355"/>
    </row>
    <row r="6" spans="1:22" s="2" customFormat="1" ht="30.75" customHeight="1">
      <c r="A6" s="3" t="s">
        <v>180</v>
      </c>
      <c r="B6" s="353" t="s">
        <v>454</v>
      </c>
      <c r="C6" s="353"/>
      <c r="D6" s="353"/>
      <c r="E6" s="354">
        <v>3900</v>
      </c>
      <c r="F6" s="354"/>
      <c r="G6" s="364">
        <v>3900</v>
      </c>
      <c r="H6" s="365"/>
      <c r="I6" s="364">
        <v>2628</v>
      </c>
      <c r="J6" s="366"/>
      <c r="K6" s="365"/>
      <c r="L6" s="67">
        <v>3900</v>
      </c>
      <c r="M6" s="67"/>
      <c r="N6" s="379">
        <f>3900+M6</f>
        <v>3900</v>
      </c>
      <c r="O6" s="380"/>
      <c r="P6" s="145"/>
      <c r="Q6" s="203">
        <f t="shared" si="0"/>
        <v>3900</v>
      </c>
      <c r="R6" s="355" t="s">
        <v>455</v>
      </c>
      <c r="S6" s="355"/>
      <c r="T6" s="355"/>
      <c r="U6" s="355"/>
      <c r="V6" s="355"/>
    </row>
    <row r="7" spans="1:22" s="2" customFormat="1" ht="26.25" customHeight="1">
      <c r="A7" s="3" t="s">
        <v>180</v>
      </c>
      <c r="B7" s="353" t="s">
        <v>456</v>
      </c>
      <c r="C7" s="353"/>
      <c r="D7" s="353"/>
      <c r="E7" s="354">
        <v>5850</v>
      </c>
      <c r="F7" s="354"/>
      <c r="G7" s="364">
        <v>5850</v>
      </c>
      <c r="H7" s="365"/>
      <c r="I7" s="364">
        <v>4541</v>
      </c>
      <c r="J7" s="366"/>
      <c r="K7" s="365"/>
      <c r="L7" s="67">
        <v>5850</v>
      </c>
      <c r="M7" s="67"/>
      <c r="N7" s="379">
        <f>5850+M7</f>
        <v>5850</v>
      </c>
      <c r="O7" s="380"/>
      <c r="P7" s="145"/>
      <c r="Q7" s="203">
        <f t="shared" si="0"/>
        <v>5850</v>
      </c>
      <c r="R7" s="355" t="s">
        <v>457</v>
      </c>
      <c r="S7" s="355"/>
      <c r="T7" s="355"/>
      <c r="U7" s="355"/>
      <c r="V7" s="355"/>
    </row>
    <row r="8" spans="1:25" s="2" customFormat="1" ht="26.25" customHeight="1">
      <c r="A8" s="3" t="s">
        <v>180</v>
      </c>
      <c r="B8" s="353" t="s">
        <v>458</v>
      </c>
      <c r="C8" s="353"/>
      <c r="D8" s="353"/>
      <c r="E8" s="354">
        <v>1462</v>
      </c>
      <c r="F8" s="354"/>
      <c r="G8" s="364">
        <v>1462</v>
      </c>
      <c r="H8" s="365"/>
      <c r="I8" s="364" t="s">
        <v>459</v>
      </c>
      <c r="J8" s="366"/>
      <c r="K8" s="365"/>
      <c r="L8" s="67">
        <v>1462</v>
      </c>
      <c r="M8" s="67"/>
      <c r="N8" s="379">
        <f>1462+M8</f>
        <v>1462</v>
      </c>
      <c r="O8" s="380"/>
      <c r="P8" s="145"/>
      <c r="Q8" s="203">
        <f t="shared" si="0"/>
        <v>1462</v>
      </c>
      <c r="R8" s="355" t="s">
        <v>461</v>
      </c>
      <c r="S8" s="355"/>
      <c r="T8" s="355"/>
      <c r="U8" s="355"/>
      <c r="V8" s="355"/>
      <c r="Y8" s="130"/>
    </row>
    <row r="9" spans="1:22" s="2" customFormat="1" ht="27" customHeight="1">
      <c r="A9" s="3" t="s">
        <v>180</v>
      </c>
      <c r="B9" s="353" t="s">
        <v>462</v>
      </c>
      <c r="C9" s="353"/>
      <c r="D9" s="353"/>
      <c r="E9" s="354" t="s">
        <v>463</v>
      </c>
      <c r="F9" s="354"/>
      <c r="G9" s="364" t="s">
        <v>463</v>
      </c>
      <c r="H9" s="365"/>
      <c r="I9" s="364" t="s">
        <v>451</v>
      </c>
      <c r="J9" s="366"/>
      <c r="K9" s="365"/>
      <c r="L9" s="67" t="s">
        <v>463</v>
      </c>
      <c r="M9" s="67"/>
      <c r="N9" s="379">
        <f>L9+M9</f>
        <v>878</v>
      </c>
      <c r="O9" s="380"/>
      <c r="P9" s="145"/>
      <c r="Q9" s="203">
        <f t="shared" si="0"/>
        <v>878</v>
      </c>
      <c r="R9" s="355" t="s">
        <v>464</v>
      </c>
      <c r="S9" s="355"/>
      <c r="T9" s="355"/>
      <c r="U9" s="355"/>
      <c r="V9" s="355"/>
    </row>
    <row r="10" spans="1:22" s="2" customFormat="1" ht="19.5" customHeight="1">
      <c r="A10" s="3" t="s">
        <v>180</v>
      </c>
      <c r="B10" s="353" t="s">
        <v>465</v>
      </c>
      <c r="C10" s="353"/>
      <c r="D10" s="353"/>
      <c r="E10" s="354" t="s">
        <v>199</v>
      </c>
      <c r="F10" s="354"/>
      <c r="G10" s="364" t="s">
        <v>199</v>
      </c>
      <c r="H10" s="365"/>
      <c r="I10" s="364" t="s">
        <v>179</v>
      </c>
      <c r="J10" s="366"/>
      <c r="K10" s="365"/>
      <c r="L10" s="67" t="s">
        <v>199</v>
      </c>
      <c r="M10" s="67"/>
      <c r="N10" s="379">
        <f>L10+M10</f>
        <v>24</v>
      </c>
      <c r="O10" s="380"/>
      <c r="P10" s="145"/>
      <c r="Q10" s="203">
        <f t="shared" si="0"/>
        <v>24</v>
      </c>
      <c r="R10" s="355" t="s">
        <v>466</v>
      </c>
      <c r="S10" s="355"/>
      <c r="T10" s="355"/>
      <c r="U10" s="355"/>
      <c r="V10" s="355"/>
    </row>
    <row r="11" spans="1:22" s="2" customFormat="1" ht="26.25" customHeight="1">
      <c r="A11" s="3" t="s">
        <v>180</v>
      </c>
      <c r="B11" s="353" t="s">
        <v>467</v>
      </c>
      <c r="C11" s="353"/>
      <c r="D11" s="353"/>
      <c r="E11" s="354" t="s">
        <v>186</v>
      </c>
      <c r="F11" s="354"/>
      <c r="G11" s="364" t="s">
        <v>189</v>
      </c>
      <c r="H11" s="365"/>
      <c r="I11" s="364" t="s">
        <v>189</v>
      </c>
      <c r="J11" s="366"/>
      <c r="K11" s="365"/>
      <c r="L11" s="67" t="s">
        <v>194</v>
      </c>
      <c r="M11" s="67"/>
      <c r="N11" s="379">
        <f>L11+M11</f>
        <v>12</v>
      </c>
      <c r="O11" s="380"/>
      <c r="P11" s="145"/>
      <c r="Q11" s="203">
        <f t="shared" si="0"/>
        <v>12</v>
      </c>
      <c r="R11" s="355" t="s">
        <v>468</v>
      </c>
      <c r="S11" s="355"/>
      <c r="T11" s="355"/>
      <c r="U11" s="355"/>
      <c r="V11" s="355"/>
    </row>
    <row r="12" spans="1:22" s="2" customFormat="1" ht="19.5" customHeight="1">
      <c r="A12" s="352" t="s">
        <v>190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</row>
    <row r="13" spans="1:22" s="2" customFormat="1" ht="19.5" customHeight="1" hidden="1">
      <c r="A13" s="3" t="s">
        <v>180</v>
      </c>
      <c r="B13" s="353" t="s">
        <v>454</v>
      </c>
      <c r="C13" s="353"/>
      <c r="D13" s="353"/>
      <c r="E13" s="354" t="s">
        <v>179</v>
      </c>
      <c r="F13" s="354"/>
      <c r="G13" s="364" t="s">
        <v>176</v>
      </c>
      <c r="H13" s="365"/>
      <c r="I13" s="364" t="s">
        <v>68</v>
      </c>
      <c r="J13" s="366"/>
      <c r="K13" s="365"/>
      <c r="L13" s="67" t="s">
        <v>179</v>
      </c>
      <c r="M13" s="67"/>
      <c r="N13" s="379" t="s">
        <v>180</v>
      </c>
      <c r="O13" s="380"/>
      <c r="P13" s="145"/>
      <c r="Q13" s="145"/>
      <c r="R13" s="355" t="s">
        <v>471</v>
      </c>
      <c r="S13" s="355"/>
      <c r="T13" s="355"/>
      <c r="U13" s="355"/>
      <c r="V13" s="355"/>
    </row>
    <row r="14" spans="1:22" s="2" customFormat="1" ht="32.25" customHeight="1" hidden="1">
      <c r="A14" s="3" t="s">
        <v>180</v>
      </c>
      <c r="B14" s="353" t="s">
        <v>458</v>
      </c>
      <c r="C14" s="353"/>
      <c r="D14" s="353"/>
      <c r="E14" s="354" t="s">
        <v>179</v>
      </c>
      <c r="F14" s="354"/>
      <c r="G14" s="364" t="s">
        <v>178</v>
      </c>
      <c r="H14" s="365"/>
      <c r="I14" s="364" t="s">
        <v>198</v>
      </c>
      <c r="J14" s="366"/>
      <c r="K14" s="365"/>
      <c r="L14" s="67" t="s">
        <v>179</v>
      </c>
      <c r="M14" s="67"/>
      <c r="N14" s="379" t="s">
        <v>180</v>
      </c>
      <c r="O14" s="380"/>
      <c r="P14" s="145"/>
      <c r="Q14" s="145"/>
      <c r="R14" s="355" t="s">
        <v>332</v>
      </c>
      <c r="S14" s="355"/>
      <c r="T14" s="355"/>
      <c r="U14" s="355"/>
      <c r="V14" s="355"/>
    </row>
    <row r="15" spans="1:22" s="2" customFormat="1" ht="19.5" customHeight="1" hidden="1">
      <c r="A15" s="3" t="s">
        <v>180</v>
      </c>
      <c r="B15" s="353" t="s">
        <v>462</v>
      </c>
      <c r="C15" s="353"/>
      <c r="D15" s="353"/>
      <c r="E15" s="354" t="s">
        <v>179</v>
      </c>
      <c r="F15" s="354"/>
      <c r="G15" s="364" t="s">
        <v>185</v>
      </c>
      <c r="H15" s="365"/>
      <c r="I15" s="364" t="s">
        <v>195</v>
      </c>
      <c r="J15" s="366"/>
      <c r="K15" s="365"/>
      <c r="L15" s="67" t="s">
        <v>179</v>
      </c>
      <c r="M15" s="67"/>
      <c r="N15" s="379" t="s">
        <v>180</v>
      </c>
      <c r="O15" s="380"/>
      <c r="P15" s="145"/>
      <c r="Q15" s="145"/>
      <c r="R15" s="355" t="s">
        <v>470</v>
      </c>
      <c r="S15" s="355"/>
      <c r="T15" s="355"/>
      <c r="U15" s="355"/>
      <c r="V15" s="355"/>
    </row>
    <row r="16" spans="1:22" s="2" customFormat="1" ht="48" customHeight="1">
      <c r="A16" s="3" t="s">
        <v>180</v>
      </c>
      <c r="B16" s="353" t="s">
        <v>469</v>
      </c>
      <c r="C16" s="353"/>
      <c r="D16" s="353"/>
      <c r="E16" s="354">
        <v>194100</v>
      </c>
      <c r="F16" s="354"/>
      <c r="G16" s="364">
        <v>194566</v>
      </c>
      <c r="H16" s="365"/>
      <c r="I16" s="364">
        <v>155117</v>
      </c>
      <c r="J16" s="366"/>
      <c r="K16" s="365"/>
      <c r="L16" s="67">
        <v>199101</v>
      </c>
      <c r="M16" s="67"/>
      <c r="N16" s="379">
        <f>199101+M16</f>
        <v>199101</v>
      </c>
      <c r="O16" s="380"/>
      <c r="P16" s="145"/>
      <c r="Q16" s="203">
        <f aca="true" t="shared" si="1" ref="Q16:Q25">N16+P16</f>
        <v>199101</v>
      </c>
      <c r="R16" s="355" t="s">
        <v>156</v>
      </c>
      <c r="S16" s="355"/>
      <c r="T16" s="355"/>
      <c r="U16" s="355"/>
      <c r="V16" s="355"/>
    </row>
    <row r="17" spans="1:22" s="2" customFormat="1" ht="31.5" customHeight="1">
      <c r="A17" s="3" t="s">
        <v>180</v>
      </c>
      <c r="B17" s="353" t="s">
        <v>239</v>
      </c>
      <c r="C17" s="353"/>
      <c r="D17" s="353"/>
      <c r="E17" s="354" t="s">
        <v>191</v>
      </c>
      <c r="F17" s="354"/>
      <c r="G17" s="364" t="s">
        <v>191</v>
      </c>
      <c r="H17" s="365"/>
      <c r="I17" s="364" t="s">
        <v>179</v>
      </c>
      <c r="J17" s="366"/>
      <c r="K17" s="365"/>
      <c r="L17" s="67" t="s">
        <v>191</v>
      </c>
      <c r="M17" s="67"/>
      <c r="N17" s="379">
        <f>L17+M17</f>
        <v>4</v>
      </c>
      <c r="O17" s="380"/>
      <c r="P17" s="145"/>
      <c r="Q17" s="203">
        <f t="shared" si="1"/>
        <v>4</v>
      </c>
      <c r="R17" s="355" t="s">
        <v>180</v>
      </c>
      <c r="S17" s="355"/>
      <c r="T17" s="355"/>
      <c r="U17" s="355"/>
      <c r="V17" s="355"/>
    </row>
    <row r="18" spans="1:22" s="2" customFormat="1" ht="19.5" customHeight="1">
      <c r="A18" s="3" t="s">
        <v>180</v>
      </c>
      <c r="B18" s="353" t="s">
        <v>452</v>
      </c>
      <c r="C18" s="353"/>
      <c r="D18" s="353"/>
      <c r="E18" s="354" t="s">
        <v>184</v>
      </c>
      <c r="F18" s="354"/>
      <c r="G18" s="364" t="s">
        <v>184</v>
      </c>
      <c r="H18" s="365"/>
      <c r="I18" s="364" t="s">
        <v>198</v>
      </c>
      <c r="J18" s="366"/>
      <c r="K18" s="365"/>
      <c r="L18" s="67" t="s">
        <v>184</v>
      </c>
      <c r="M18" s="67"/>
      <c r="N18" s="379">
        <f>L18+M18</f>
        <v>150</v>
      </c>
      <c r="O18" s="380"/>
      <c r="P18" s="145"/>
      <c r="Q18" s="203">
        <f t="shared" si="1"/>
        <v>150</v>
      </c>
      <c r="R18" s="355" t="s">
        <v>240</v>
      </c>
      <c r="S18" s="355"/>
      <c r="T18" s="355"/>
      <c r="U18" s="355"/>
      <c r="V18" s="355"/>
    </row>
    <row r="19" spans="1:22" s="2" customFormat="1" ht="19.5" customHeight="1">
      <c r="A19" s="3" t="s">
        <v>180</v>
      </c>
      <c r="B19" s="353" t="s">
        <v>454</v>
      </c>
      <c r="C19" s="353"/>
      <c r="D19" s="353"/>
      <c r="E19" s="354">
        <v>3700</v>
      </c>
      <c r="F19" s="354"/>
      <c r="G19" s="364">
        <v>4130</v>
      </c>
      <c r="H19" s="365"/>
      <c r="I19" s="364">
        <v>2487</v>
      </c>
      <c r="J19" s="366"/>
      <c r="K19" s="365"/>
      <c r="L19" s="67">
        <v>4573</v>
      </c>
      <c r="M19" s="67"/>
      <c r="N19" s="379">
        <f>4573+M19</f>
        <v>4573</v>
      </c>
      <c r="O19" s="380"/>
      <c r="P19" s="145"/>
      <c r="Q19" s="203">
        <f t="shared" si="1"/>
        <v>4573</v>
      </c>
      <c r="R19" s="355" t="s">
        <v>155</v>
      </c>
      <c r="S19" s="355"/>
      <c r="T19" s="355"/>
      <c r="U19" s="355"/>
      <c r="V19" s="355"/>
    </row>
    <row r="20" spans="1:22" s="2" customFormat="1" ht="19.5" customHeight="1">
      <c r="A20" s="3" t="s">
        <v>180</v>
      </c>
      <c r="B20" s="353" t="s">
        <v>241</v>
      </c>
      <c r="C20" s="353"/>
      <c r="D20" s="353"/>
      <c r="E20" s="354">
        <v>1500</v>
      </c>
      <c r="F20" s="354"/>
      <c r="G20" s="364">
        <v>1500</v>
      </c>
      <c r="H20" s="365"/>
      <c r="I20" s="364" t="s">
        <v>177</v>
      </c>
      <c r="J20" s="366"/>
      <c r="K20" s="365"/>
      <c r="L20" s="67">
        <v>1500</v>
      </c>
      <c r="M20" s="67"/>
      <c r="N20" s="379">
        <f>1500+M20</f>
        <v>1500</v>
      </c>
      <c r="O20" s="380"/>
      <c r="P20" s="145"/>
      <c r="Q20" s="203">
        <f t="shared" si="1"/>
        <v>1500</v>
      </c>
      <c r="R20" s="355" t="s">
        <v>180</v>
      </c>
      <c r="S20" s="355"/>
      <c r="T20" s="355"/>
      <c r="U20" s="355"/>
      <c r="V20" s="355"/>
    </row>
    <row r="21" spans="1:25" s="2" customFormat="1" ht="30.75" customHeight="1">
      <c r="A21" s="3" t="s">
        <v>180</v>
      </c>
      <c r="B21" s="353" t="s">
        <v>458</v>
      </c>
      <c r="C21" s="353"/>
      <c r="D21" s="353"/>
      <c r="E21" s="354">
        <v>49450</v>
      </c>
      <c r="F21" s="354"/>
      <c r="G21" s="364">
        <v>49634</v>
      </c>
      <c r="H21" s="365"/>
      <c r="I21" s="364">
        <v>39214</v>
      </c>
      <c r="J21" s="366"/>
      <c r="K21" s="365"/>
      <c r="L21" s="67">
        <v>50970</v>
      </c>
      <c r="M21" s="67"/>
      <c r="N21" s="379">
        <f>50970+M21</f>
        <v>50970</v>
      </c>
      <c r="O21" s="380"/>
      <c r="P21" s="145"/>
      <c r="Q21" s="203">
        <f t="shared" si="1"/>
        <v>50970</v>
      </c>
      <c r="R21" s="355" t="s">
        <v>461</v>
      </c>
      <c r="S21" s="355"/>
      <c r="T21" s="355"/>
      <c r="U21" s="355"/>
      <c r="V21" s="355"/>
      <c r="Y21" s="130"/>
    </row>
    <row r="22" spans="1:22" s="2" customFormat="1" ht="19.5" customHeight="1">
      <c r="A22" s="3" t="s">
        <v>180</v>
      </c>
      <c r="B22" s="353" t="s">
        <v>462</v>
      </c>
      <c r="C22" s="353"/>
      <c r="D22" s="353"/>
      <c r="E22" s="354">
        <v>17802</v>
      </c>
      <c r="F22" s="354"/>
      <c r="G22" s="364">
        <v>17868</v>
      </c>
      <c r="H22" s="365"/>
      <c r="I22" s="364">
        <v>14117</v>
      </c>
      <c r="J22" s="366"/>
      <c r="K22" s="365"/>
      <c r="L22" s="67">
        <v>18350</v>
      </c>
      <c r="M22" s="67"/>
      <c r="N22" s="379">
        <f>18350+M22</f>
        <v>18350</v>
      </c>
      <c r="O22" s="380"/>
      <c r="P22" s="145"/>
      <c r="Q22" s="203">
        <f t="shared" si="1"/>
        <v>18350</v>
      </c>
      <c r="R22" s="355" t="s">
        <v>464</v>
      </c>
      <c r="S22" s="355"/>
      <c r="T22" s="355"/>
      <c r="U22" s="355"/>
      <c r="V22" s="355"/>
    </row>
    <row r="23" spans="1:22" s="2" customFormat="1" ht="28.5" customHeight="1">
      <c r="A23" s="3" t="s">
        <v>180</v>
      </c>
      <c r="B23" s="353" t="s">
        <v>465</v>
      </c>
      <c r="C23" s="353"/>
      <c r="D23" s="353"/>
      <c r="E23" s="354">
        <v>1116</v>
      </c>
      <c r="F23" s="354"/>
      <c r="G23" s="364">
        <v>1116</v>
      </c>
      <c r="H23" s="365"/>
      <c r="I23" s="364">
        <v>1055</v>
      </c>
      <c r="J23" s="366"/>
      <c r="K23" s="365"/>
      <c r="L23" s="67">
        <v>1025</v>
      </c>
      <c r="M23" s="67"/>
      <c r="N23" s="379">
        <f>1025+M23</f>
        <v>1025</v>
      </c>
      <c r="O23" s="380"/>
      <c r="P23" s="145"/>
      <c r="Q23" s="203">
        <f t="shared" si="1"/>
        <v>1025</v>
      </c>
      <c r="R23" s="355" t="s">
        <v>242</v>
      </c>
      <c r="S23" s="355"/>
      <c r="T23" s="355"/>
      <c r="U23" s="355"/>
      <c r="V23" s="355"/>
    </row>
    <row r="24" spans="1:25" s="2" customFormat="1" ht="27.75" customHeight="1">
      <c r="A24" s="3" t="s">
        <v>180</v>
      </c>
      <c r="B24" s="353" t="s">
        <v>243</v>
      </c>
      <c r="C24" s="353"/>
      <c r="D24" s="353"/>
      <c r="E24" s="354" t="s">
        <v>187</v>
      </c>
      <c r="F24" s="354"/>
      <c r="G24" s="364" t="s">
        <v>179</v>
      </c>
      <c r="H24" s="365"/>
      <c r="I24" s="364" t="s">
        <v>179</v>
      </c>
      <c r="J24" s="366"/>
      <c r="K24" s="365"/>
      <c r="L24" s="67" t="s">
        <v>187</v>
      </c>
      <c r="M24" s="67"/>
      <c r="N24" s="379">
        <f>L24+M24</f>
        <v>400</v>
      </c>
      <c r="O24" s="380"/>
      <c r="P24" s="145"/>
      <c r="Q24" s="203">
        <f t="shared" si="1"/>
        <v>400</v>
      </c>
      <c r="R24" s="355" t="s">
        <v>244</v>
      </c>
      <c r="S24" s="355"/>
      <c r="T24" s="355"/>
      <c r="U24" s="355"/>
      <c r="V24" s="355"/>
      <c r="Y24" s="130"/>
    </row>
    <row r="25" spans="1:22" s="2" customFormat="1" ht="28.5" customHeight="1">
      <c r="A25" s="3" t="s">
        <v>180</v>
      </c>
      <c r="B25" s="353" t="s">
        <v>467</v>
      </c>
      <c r="C25" s="353"/>
      <c r="D25" s="353"/>
      <c r="E25" s="354" t="s">
        <v>203</v>
      </c>
      <c r="F25" s="354"/>
      <c r="G25" s="364" t="s">
        <v>203</v>
      </c>
      <c r="H25" s="365"/>
      <c r="I25" s="364" t="s">
        <v>204</v>
      </c>
      <c r="J25" s="366"/>
      <c r="K25" s="365"/>
      <c r="L25" s="67" t="s">
        <v>203</v>
      </c>
      <c r="M25" s="67"/>
      <c r="N25" s="379">
        <f>L25+M25</f>
        <v>900</v>
      </c>
      <c r="O25" s="380"/>
      <c r="P25" s="145"/>
      <c r="Q25" s="203">
        <f t="shared" si="1"/>
        <v>900</v>
      </c>
      <c r="R25" s="355" t="s">
        <v>468</v>
      </c>
      <c r="S25" s="355"/>
      <c r="T25" s="355"/>
      <c r="U25" s="355"/>
      <c r="V25" s="355"/>
    </row>
    <row r="26" spans="1:22" s="2" customFormat="1" ht="19.5" customHeight="1">
      <c r="A26" s="345" t="s">
        <v>173</v>
      </c>
      <c r="B26" s="345"/>
      <c r="C26" s="345"/>
      <c r="D26" s="345"/>
      <c r="E26" s="373">
        <v>281491</v>
      </c>
      <c r="F26" s="373"/>
      <c r="G26" s="376">
        <v>282738</v>
      </c>
      <c r="H26" s="378"/>
      <c r="I26" s="376">
        <v>227946</v>
      </c>
      <c r="J26" s="377"/>
      <c r="K26" s="378"/>
      <c r="L26" s="70">
        <v>289419</v>
      </c>
      <c r="M26" s="70">
        <f>SUM(M16:M25)</f>
        <v>0</v>
      </c>
      <c r="N26" s="374" t="e">
        <f>SUM(N16:O25)+#REF!</f>
        <v>#REF!</v>
      </c>
      <c r="O26" s="375"/>
      <c r="P26" s="146">
        <f>SUM(P16:P25)</f>
        <v>0</v>
      </c>
      <c r="Q26" s="208">
        <v>289419</v>
      </c>
      <c r="R26" s="348" t="s">
        <v>180</v>
      </c>
      <c r="S26" s="348"/>
      <c r="T26" s="348"/>
      <c r="U26" s="348"/>
      <c r="V26" s="348"/>
    </row>
    <row r="27" spans="1:22" s="2" customFormat="1" ht="19.5" customHeight="1">
      <c r="A27" s="351" t="s">
        <v>508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</row>
    <row r="28" spans="1:22" s="2" customFormat="1" ht="19.5" customHeight="1">
      <c r="A28" s="352" t="s">
        <v>193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</row>
    <row r="29" spans="1:22" s="2" customFormat="1" ht="51" customHeight="1">
      <c r="A29" s="3" t="s">
        <v>180</v>
      </c>
      <c r="B29" s="353" t="s">
        <v>469</v>
      </c>
      <c r="C29" s="353"/>
      <c r="D29" s="353"/>
      <c r="E29" s="354">
        <v>39100</v>
      </c>
      <c r="F29" s="354"/>
      <c r="G29" s="364">
        <v>38805</v>
      </c>
      <c r="H29" s="365"/>
      <c r="I29" s="364">
        <v>31645</v>
      </c>
      <c r="J29" s="366"/>
      <c r="K29" s="365"/>
      <c r="L29" s="67">
        <v>39734</v>
      </c>
      <c r="M29" s="67"/>
      <c r="N29" s="379">
        <f>39734+M29</f>
        <v>39734</v>
      </c>
      <c r="O29" s="380"/>
      <c r="P29" s="145"/>
      <c r="Q29" s="203">
        <f>N29+P29</f>
        <v>39734</v>
      </c>
      <c r="R29" s="355" t="s">
        <v>509</v>
      </c>
      <c r="S29" s="355"/>
      <c r="T29" s="355"/>
      <c r="U29" s="355"/>
      <c r="V29" s="355"/>
    </row>
    <row r="30" spans="1:22" s="2" customFormat="1" ht="30.75" customHeight="1">
      <c r="A30" s="3" t="s">
        <v>180</v>
      </c>
      <c r="B30" s="353" t="s">
        <v>454</v>
      </c>
      <c r="C30" s="353"/>
      <c r="D30" s="353"/>
      <c r="E30" s="354" t="s">
        <v>174</v>
      </c>
      <c r="F30" s="354"/>
      <c r="G30" s="364" t="s">
        <v>450</v>
      </c>
      <c r="H30" s="365"/>
      <c r="I30" s="364" t="s">
        <v>510</v>
      </c>
      <c r="J30" s="366"/>
      <c r="K30" s="365"/>
      <c r="L30" s="67" t="s">
        <v>450</v>
      </c>
      <c r="M30" s="67"/>
      <c r="N30" s="379">
        <f>L30+M30</f>
        <v>238</v>
      </c>
      <c r="O30" s="380"/>
      <c r="P30" s="145"/>
      <c r="Q30" s="203">
        <f>N30+P30</f>
        <v>238</v>
      </c>
      <c r="R30" s="355" t="s">
        <v>62</v>
      </c>
      <c r="S30" s="355"/>
      <c r="T30" s="355"/>
      <c r="U30" s="355"/>
      <c r="V30" s="355"/>
    </row>
    <row r="31" spans="1:22" s="2" customFormat="1" ht="27.75" customHeight="1">
      <c r="A31" s="3" t="s">
        <v>180</v>
      </c>
      <c r="B31" s="353" t="s">
        <v>458</v>
      </c>
      <c r="C31" s="353"/>
      <c r="D31" s="353"/>
      <c r="E31" s="354">
        <v>9862</v>
      </c>
      <c r="F31" s="354"/>
      <c r="G31" s="364">
        <v>9763</v>
      </c>
      <c r="H31" s="365"/>
      <c r="I31" s="364">
        <v>7993</v>
      </c>
      <c r="J31" s="366"/>
      <c r="K31" s="365"/>
      <c r="L31" s="67">
        <v>9984</v>
      </c>
      <c r="M31" s="67"/>
      <c r="N31" s="379">
        <f>9984+M31</f>
        <v>9984</v>
      </c>
      <c r="O31" s="380"/>
      <c r="P31" s="145"/>
      <c r="Q31" s="203">
        <f>N31+P31</f>
        <v>9984</v>
      </c>
      <c r="R31" s="355" t="s">
        <v>63</v>
      </c>
      <c r="S31" s="355"/>
      <c r="T31" s="355"/>
      <c r="U31" s="355"/>
      <c r="V31" s="355"/>
    </row>
    <row r="32" spans="1:22" s="2" customFormat="1" ht="19.5" customHeight="1">
      <c r="A32" s="3" t="s">
        <v>180</v>
      </c>
      <c r="B32" s="353" t="s">
        <v>462</v>
      </c>
      <c r="C32" s="353"/>
      <c r="D32" s="353"/>
      <c r="E32" s="354">
        <v>3550</v>
      </c>
      <c r="F32" s="354"/>
      <c r="G32" s="364">
        <v>3514</v>
      </c>
      <c r="H32" s="365"/>
      <c r="I32" s="364">
        <v>2880</v>
      </c>
      <c r="J32" s="366"/>
      <c r="K32" s="365"/>
      <c r="L32" s="67">
        <v>3594</v>
      </c>
      <c r="M32" s="67"/>
      <c r="N32" s="379">
        <f>3594+M32</f>
        <v>3594</v>
      </c>
      <c r="O32" s="380"/>
      <c r="P32" s="145"/>
      <c r="Q32" s="203">
        <f>N32+P32</f>
        <v>3594</v>
      </c>
      <c r="R32" s="355" t="s">
        <v>64</v>
      </c>
      <c r="S32" s="355"/>
      <c r="T32" s="355"/>
      <c r="U32" s="355"/>
      <c r="V32" s="355"/>
    </row>
    <row r="33" spans="1:22" s="2" customFormat="1" ht="19.5" customHeight="1">
      <c r="A33" s="3" t="s">
        <v>180</v>
      </c>
      <c r="B33" s="353" t="s">
        <v>467</v>
      </c>
      <c r="C33" s="353"/>
      <c r="D33" s="353"/>
      <c r="E33" s="354" t="s">
        <v>184</v>
      </c>
      <c r="F33" s="354"/>
      <c r="G33" s="364" t="s">
        <v>184</v>
      </c>
      <c r="H33" s="365"/>
      <c r="I33" s="364" t="s">
        <v>202</v>
      </c>
      <c r="J33" s="366"/>
      <c r="K33" s="365"/>
      <c r="L33" s="67" t="s">
        <v>184</v>
      </c>
      <c r="M33" s="67"/>
      <c r="N33" s="379">
        <f>L33+M33</f>
        <v>150</v>
      </c>
      <c r="O33" s="380"/>
      <c r="P33" s="145"/>
      <c r="Q33" s="203">
        <f>N33+P33</f>
        <v>150</v>
      </c>
      <c r="R33" s="355" t="s">
        <v>180</v>
      </c>
      <c r="S33" s="355"/>
      <c r="T33" s="355"/>
      <c r="U33" s="355"/>
      <c r="V33" s="355"/>
    </row>
    <row r="34" spans="1:22" s="2" customFormat="1" ht="19.5" customHeight="1">
      <c r="A34" s="345" t="s">
        <v>65</v>
      </c>
      <c r="B34" s="345"/>
      <c r="C34" s="345"/>
      <c r="D34" s="345"/>
      <c r="E34" s="373">
        <v>53000</v>
      </c>
      <c r="F34" s="373"/>
      <c r="G34" s="376">
        <v>52470</v>
      </c>
      <c r="H34" s="378"/>
      <c r="I34" s="376">
        <v>42899</v>
      </c>
      <c r="J34" s="377"/>
      <c r="K34" s="378"/>
      <c r="L34" s="70">
        <v>53700</v>
      </c>
      <c r="M34" s="70" t="e">
        <f>#REF!</f>
        <v>#REF!</v>
      </c>
      <c r="N34" s="374" t="e">
        <f>#REF!</f>
        <v>#REF!</v>
      </c>
      <c r="O34" s="375"/>
      <c r="P34" s="146" t="e">
        <f>#REF!</f>
        <v>#REF!</v>
      </c>
      <c r="Q34" s="208">
        <v>53700</v>
      </c>
      <c r="R34" s="348" t="s">
        <v>180</v>
      </c>
      <c r="S34" s="348"/>
      <c r="T34" s="348"/>
      <c r="U34" s="348"/>
      <c r="V34" s="348"/>
    </row>
    <row r="35" spans="1:22" s="2" customFormat="1" ht="19.5" customHeight="1">
      <c r="A35" s="372" t="s">
        <v>66</v>
      </c>
      <c r="B35" s="372"/>
      <c r="C35" s="372"/>
      <c r="D35" s="372"/>
      <c r="E35" s="373">
        <v>334491</v>
      </c>
      <c r="F35" s="373"/>
      <c r="G35" s="376">
        <v>335208</v>
      </c>
      <c r="H35" s="378"/>
      <c r="I35" s="376">
        <v>270845</v>
      </c>
      <c r="J35" s="377"/>
      <c r="K35" s="378"/>
      <c r="L35" s="70">
        <v>343119</v>
      </c>
      <c r="M35" s="70" t="e">
        <f>M34+M26</f>
        <v>#REF!</v>
      </c>
      <c r="N35" s="374" t="e">
        <f>#REF!+N26+N34</f>
        <v>#REF!</v>
      </c>
      <c r="O35" s="375"/>
      <c r="P35" s="146" t="e">
        <f>P34+P26</f>
        <v>#REF!</v>
      </c>
      <c r="Q35" s="208">
        <f>Q34+Q26</f>
        <v>343119</v>
      </c>
      <c r="R35" s="348" t="s">
        <v>180</v>
      </c>
      <c r="S35" s="348"/>
      <c r="T35" s="348"/>
      <c r="U35" s="348"/>
      <c r="V35" s="348"/>
    </row>
  </sheetData>
  <sheetProtection/>
  <mergeCells count="180">
    <mergeCell ref="R5:V5"/>
    <mergeCell ref="I11:K11"/>
    <mergeCell ref="G11:H11"/>
    <mergeCell ref="N1:O1"/>
    <mergeCell ref="A4:V4"/>
    <mergeCell ref="B5:D5"/>
    <mergeCell ref="E5:F5"/>
    <mergeCell ref="G5:H5"/>
    <mergeCell ref="I5:K5"/>
    <mergeCell ref="N5:O5"/>
    <mergeCell ref="R1:V1"/>
    <mergeCell ref="A2:B2"/>
    <mergeCell ref="A3:V3"/>
    <mergeCell ref="B1:D1"/>
    <mergeCell ref="E1:F1"/>
    <mergeCell ref="G1:H1"/>
    <mergeCell ref="I1:K1"/>
    <mergeCell ref="B9:D9"/>
    <mergeCell ref="E9:F9"/>
    <mergeCell ref="B6:D6"/>
    <mergeCell ref="E6:F6"/>
    <mergeCell ref="G6:H6"/>
    <mergeCell ref="I6:K6"/>
    <mergeCell ref="B7:D7"/>
    <mergeCell ref="E7:F7"/>
    <mergeCell ref="G7:H7"/>
    <mergeCell ref="I7:K7"/>
    <mergeCell ref="R6:V6"/>
    <mergeCell ref="N7:O7"/>
    <mergeCell ref="R7:V7"/>
    <mergeCell ref="R9:V9"/>
    <mergeCell ref="R8:V8"/>
    <mergeCell ref="N6:O6"/>
    <mergeCell ref="B11:D11"/>
    <mergeCell ref="E11:F11"/>
    <mergeCell ref="R10:V10"/>
    <mergeCell ref="N11:O11"/>
    <mergeCell ref="R11:V11"/>
    <mergeCell ref="G10:H10"/>
    <mergeCell ref="N10:O10"/>
    <mergeCell ref="I10:K10"/>
    <mergeCell ref="G8:H8"/>
    <mergeCell ref="I8:K8"/>
    <mergeCell ref="N8:O8"/>
    <mergeCell ref="B10:D10"/>
    <mergeCell ref="E10:F10"/>
    <mergeCell ref="N9:O9"/>
    <mergeCell ref="G9:H9"/>
    <mergeCell ref="I9:K9"/>
    <mergeCell ref="B8:D8"/>
    <mergeCell ref="E8:F8"/>
    <mergeCell ref="A12:V12"/>
    <mergeCell ref="G15:H15"/>
    <mergeCell ref="I14:K14"/>
    <mergeCell ref="B13:D13"/>
    <mergeCell ref="E13:F13"/>
    <mergeCell ref="G13:H13"/>
    <mergeCell ref="I13:K13"/>
    <mergeCell ref="R15:V15"/>
    <mergeCell ref="B14:D14"/>
    <mergeCell ref="G14:H14"/>
    <mergeCell ref="E14:F14"/>
    <mergeCell ref="R13:V13"/>
    <mergeCell ref="R14:V14"/>
    <mergeCell ref="B15:D15"/>
    <mergeCell ref="E15:F15"/>
    <mergeCell ref="N13:O13"/>
    <mergeCell ref="N14:O14"/>
    <mergeCell ref="I15:K15"/>
    <mergeCell ref="N15:O15"/>
    <mergeCell ref="B17:D17"/>
    <mergeCell ref="E17:F17"/>
    <mergeCell ref="N17:O17"/>
    <mergeCell ref="R17:V17"/>
    <mergeCell ref="B16:D16"/>
    <mergeCell ref="E16:F16"/>
    <mergeCell ref="N16:O16"/>
    <mergeCell ref="R16:V16"/>
    <mergeCell ref="I16:K16"/>
    <mergeCell ref="G16:H16"/>
    <mergeCell ref="I18:K18"/>
    <mergeCell ref="G18:H18"/>
    <mergeCell ref="I17:K17"/>
    <mergeCell ref="G17:H17"/>
    <mergeCell ref="N19:O19"/>
    <mergeCell ref="R19:V19"/>
    <mergeCell ref="N18:O18"/>
    <mergeCell ref="R18:V18"/>
    <mergeCell ref="B18:D18"/>
    <mergeCell ref="E18:F18"/>
    <mergeCell ref="N20:O20"/>
    <mergeCell ref="R20:V20"/>
    <mergeCell ref="B19:D19"/>
    <mergeCell ref="E19:F19"/>
    <mergeCell ref="B20:D20"/>
    <mergeCell ref="E20:F20"/>
    <mergeCell ref="G20:H20"/>
    <mergeCell ref="I20:K20"/>
    <mergeCell ref="B22:D22"/>
    <mergeCell ref="E22:F22"/>
    <mergeCell ref="G22:H22"/>
    <mergeCell ref="I22:K22"/>
    <mergeCell ref="G19:H19"/>
    <mergeCell ref="I19:K19"/>
    <mergeCell ref="B21:D21"/>
    <mergeCell ref="E21:F21"/>
    <mergeCell ref="I21:K21"/>
    <mergeCell ref="G21:H21"/>
    <mergeCell ref="N21:O21"/>
    <mergeCell ref="R21:V21"/>
    <mergeCell ref="N22:O22"/>
    <mergeCell ref="R22:V22"/>
    <mergeCell ref="N23:O23"/>
    <mergeCell ref="R23:V23"/>
    <mergeCell ref="N24:O24"/>
    <mergeCell ref="R24:V24"/>
    <mergeCell ref="B23:D23"/>
    <mergeCell ref="E23:F23"/>
    <mergeCell ref="B24:D24"/>
    <mergeCell ref="E24:F24"/>
    <mergeCell ref="G24:H24"/>
    <mergeCell ref="I24:K24"/>
    <mergeCell ref="G23:H23"/>
    <mergeCell ref="I23:K23"/>
    <mergeCell ref="N25:O25"/>
    <mergeCell ref="R25:V25"/>
    <mergeCell ref="B25:D25"/>
    <mergeCell ref="E25:F25"/>
    <mergeCell ref="G25:H25"/>
    <mergeCell ref="I25:K25"/>
    <mergeCell ref="N26:O26"/>
    <mergeCell ref="R26:V26"/>
    <mergeCell ref="A26:D26"/>
    <mergeCell ref="E26:F26"/>
    <mergeCell ref="G26:H26"/>
    <mergeCell ref="I26:K26"/>
    <mergeCell ref="A27:V27"/>
    <mergeCell ref="A28:V28"/>
    <mergeCell ref="B29:D29"/>
    <mergeCell ref="E29:F29"/>
    <mergeCell ref="G29:H29"/>
    <mergeCell ref="I29:K29"/>
    <mergeCell ref="N29:O29"/>
    <mergeCell ref="R29:V29"/>
    <mergeCell ref="B30:D30"/>
    <mergeCell ref="E30:F30"/>
    <mergeCell ref="G31:H31"/>
    <mergeCell ref="I31:K31"/>
    <mergeCell ref="G30:H30"/>
    <mergeCell ref="I30:K30"/>
    <mergeCell ref="N30:O30"/>
    <mergeCell ref="R30:V30"/>
    <mergeCell ref="N31:O31"/>
    <mergeCell ref="R31:V31"/>
    <mergeCell ref="B32:D32"/>
    <mergeCell ref="E32:F32"/>
    <mergeCell ref="B31:D31"/>
    <mergeCell ref="E31:F31"/>
    <mergeCell ref="I32:K32"/>
    <mergeCell ref="G32:H32"/>
    <mergeCell ref="N33:O33"/>
    <mergeCell ref="R33:V33"/>
    <mergeCell ref="G33:H33"/>
    <mergeCell ref="I33:K33"/>
    <mergeCell ref="N34:O34"/>
    <mergeCell ref="R34:V34"/>
    <mergeCell ref="N32:O32"/>
    <mergeCell ref="R32:V32"/>
    <mergeCell ref="I34:K34"/>
    <mergeCell ref="G34:H34"/>
    <mergeCell ref="B33:D33"/>
    <mergeCell ref="E33:F33"/>
    <mergeCell ref="A34:D34"/>
    <mergeCell ref="E34:F34"/>
    <mergeCell ref="A35:D35"/>
    <mergeCell ref="E35:F35"/>
    <mergeCell ref="N35:O35"/>
    <mergeCell ref="R35:V35"/>
    <mergeCell ref="I35:K35"/>
    <mergeCell ref="G35:H35"/>
  </mergeCells>
  <printOptions/>
  <pageMargins left="0.95" right="0.18" top="1" bottom="1" header="0.4921259845" footer="0.4921259845"/>
  <pageSetup firstPageNumber="14" useFirstPageNumber="1" horizontalDpi="600" verticalDpi="600" orientation="portrait" paperSize="9" scale="72" r:id="rId1"/>
  <headerFooter alignWithMargins="0">
    <oddHeader>&amp;C&amp;"Arial,Tučné"&amp;12Schválený rozpočet rok 2013 - mzdy MMOl a Městské policie&amp;R&amp;"Arial,Tučné"Příloha č. 8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zoomScaleSheetLayoutView="100" zoomScalePageLayoutView="0" workbookViewId="0" topLeftCell="A34">
      <selection activeCell="W1" sqref="W1"/>
    </sheetView>
  </sheetViews>
  <sheetFormatPr defaultColWidth="9.140625" defaultRowHeight="12.75" outlineLevelCol="1"/>
  <cols>
    <col min="1" max="1" width="9.57421875" style="6" customWidth="1"/>
    <col min="2" max="2" width="10.57421875" style="6" customWidth="1"/>
    <col min="3" max="3" width="21.28125" style="6" customWidth="1"/>
    <col min="4" max="4" width="11.140625" style="9" hidden="1" customWidth="1"/>
    <col min="5" max="5" width="10.8515625" style="9" hidden="1" customWidth="1"/>
    <col min="6" max="6" width="12.28125" style="9" hidden="1" customWidth="1"/>
    <col min="7" max="7" width="9.57421875" style="9" hidden="1" customWidth="1" outlineLevel="1"/>
    <col min="8" max="8" width="10.57421875" style="9" hidden="1" customWidth="1" outlineLevel="1"/>
    <col min="9" max="9" width="13.8515625" style="9" hidden="1" customWidth="1" collapsed="1"/>
    <col min="10" max="10" width="12.57421875" style="9" hidden="1" customWidth="1" collapsed="1"/>
    <col min="11" max="11" width="9.8515625" style="9" hidden="1" customWidth="1"/>
    <col min="12" max="12" width="10.140625" style="9" hidden="1" customWidth="1"/>
    <col min="13" max="13" width="9.8515625" style="9" hidden="1" customWidth="1"/>
    <col min="14" max="14" width="13.140625" style="9" customWidth="1"/>
    <col min="15" max="15" width="56.57421875" style="6" customWidth="1"/>
    <col min="16" max="16" width="9.140625" style="6" customWidth="1"/>
    <col min="17" max="17" width="10.7109375" style="6" hidden="1" customWidth="1"/>
    <col min="18" max="18" width="10.28125" style="6" hidden="1" customWidth="1"/>
    <col min="19" max="16384" width="9.140625" style="6" customWidth="1"/>
  </cols>
  <sheetData>
    <row r="1" spans="1:18" ht="72.75" customHeight="1" thickBot="1">
      <c r="A1" s="263" t="s">
        <v>181</v>
      </c>
      <c r="B1" s="389" t="s">
        <v>182</v>
      </c>
      <c r="C1" s="389"/>
      <c r="D1" s="264" t="s">
        <v>323</v>
      </c>
      <c r="E1" s="264" t="s">
        <v>324</v>
      </c>
      <c r="F1" s="264" t="s">
        <v>161</v>
      </c>
      <c r="G1" s="264" t="s">
        <v>325</v>
      </c>
      <c r="H1" s="264" t="s">
        <v>326</v>
      </c>
      <c r="I1" s="264" t="s">
        <v>327</v>
      </c>
      <c r="J1" s="264" t="s">
        <v>572</v>
      </c>
      <c r="K1" s="264" t="s">
        <v>573</v>
      </c>
      <c r="L1" s="264" t="s">
        <v>171</v>
      </c>
      <c r="M1" s="262" t="s">
        <v>294</v>
      </c>
      <c r="N1" s="262" t="s">
        <v>460</v>
      </c>
      <c r="O1" s="263" t="s">
        <v>368</v>
      </c>
      <c r="Q1" s="5" t="s">
        <v>574</v>
      </c>
      <c r="R1" s="5" t="s">
        <v>575</v>
      </c>
    </row>
    <row r="2" spans="1:23" ht="18" customHeight="1">
      <c r="A2" s="394" t="s">
        <v>183</v>
      </c>
      <c r="B2" s="394"/>
      <c r="C2" s="7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"/>
      <c r="Q2" s="8"/>
      <c r="R2" s="9"/>
      <c r="S2" s="9"/>
      <c r="T2" s="9"/>
      <c r="U2" s="9"/>
      <c r="V2" s="9"/>
      <c r="W2" s="9"/>
    </row>
    <row r="3" spans="1:23" s="10" customFormat="1" ht="19.5" customHeight="1">
      <c r="A3" s="395" t="s">
        <v>576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Q3" s="11"/>
      <c r="R3" s="11"/>
      <c r="S3" s="12"/>
      <c r="T3" s="12"/>
      <c r="U3" s="12"/>
      <c r="V3" s="12"/>
      <c r="W3" s="12"/>
    </row>
    <row r="4" spans="1:23" s="10" customFormat="1" ht="19.5" customHeight="1">
      <c r="A4" s="396" t="s">
        <v>165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Q4" s="13"/>
      <c r="R4" s="13"/>
      <c r="S4" s="12"/>
      <c r="T4" s="12"/>
      <c r="U4" s="12"/>
      <c r="V4" s="12"/>
      <c r="W4" s="12"/>
    </row>
    <row r="5" spans="1:23" s="10" customFormat="1" ht="19.5" customHeight="1">
      <c r="A5" s="14" t="s">
        <v>180</v>
      </c>
      <c r="B5" s="382" t="s">
        <v>166</v>
      </c>
      <c r="C5" s="382"/>
      <c r="D5" s="15">
        <v>28500</v>
      </c>
      <c r="E5" s="15">
        <v>25320</v>
      </c>
      <c r="F5" s="15">
        <v>20809</v>
      </c>
      <c r="G5" s="132">
        <v>28000</v>
      </c>
      <c r="H5" s="15">
        <f aca="true" t="shared" si="0" ref="H5:H12">Q5</f>
        <v>27075</v>
      </c>
      <c r="I5" s="16">
        <v>24518</v>
      </c>
      <c r="J5" s="16">
        <f aca="true" t="shared" si="1" ref="J5:J13">I5</f>
        <v>24518</v>
      </c>
      <c r="K5" s="16"/>
      <c r="L5" s="16">
        <f aca="true" t="shared" si="2" ref="L5:L12">J5+K5</f>
        <v>24518</v>
      </c>
      <c r="M5" s="16"/>
      <c r="N5" s="16">
        <v>23818</v>
      </c>
      <c r="O5" s="17" t="s">
        <v>532</v>
      </c>
      <c r="Q5" s="18">
        <f>28500*0.95</f>
        <v>27075</v>
      </c>
      <c r="R5" s="18"/>
      <c r="S5" s="12"/>
      <c r="T5" s="12"/>
      <c r="U5" s="12"/>
      <c r="V5" s="12"/>
      <c r="W5" s="12"/>
    </row>
    <row r="6" spans="1:23" s="10" customFormat="1" ht="19.5" customHeight="1">
      <c r="A6" s="14" t="s">
        <v>180</v>
      </c>
      <c r="B6" s="382" t="s">
        <v>166</v>
      </c>
      <c r="C6" s="382"/>
      <c r="D6" s="15">
        <v>31000</v>
      </c>
      <c r="E6" s="15">
        <v>31065</v>
      </c>
      <c r="F6" s="15">
        <v>27832</v>
      </c>
      <c r="G6" s="132">
        <v>37000</v>
      </c>
      <c r="H6" s="15">
        <f t="shared" si="0"/>
        <v>29450</v>
      </c>
      <c r="I6" s="16">
        <v>32000</v>
      </c>
      <c r="J6" s="16">
        <f t="shared" si="1"/>
        <v>32000</v>
      </c>
      <c r="K6" s="16"/>
      <c r="L6" s="16">
        <f t="shared" si="2"/>
        <v>32000</v>
      </c>
      <c r="M6" s="16"/>
      <c r="N6" s="16">
        <v>30200</v>
      </c>
      <c r="O6" s="17" t="s">
        <v>533</v>
      </c>
      <c r="Q6" s="15">
        <f>31000*0.95</f>
        <v>29450</v>
      </c>
      <c r="R6" s="15"/>
      <c r="S6" s="12"/>
      <c r="T6" s="12"/>
      <c r="U6" s="12"/>
      <c r="V6" s="12"/>
      <c r="W6" s="12"/>
    </row>
    <row r="7" spans="1:23" s="10" customFormat="1" ht="19.5" customHeight="1">
      <c r="A7" s="14" t="s">
        <v>180</v>
      </c>
      <c r="B7" s="382" t="s">
        <v>166</v>
      </c>
      <c r="C7" s="382"/>
      <c r="D7" s="15" t="s">
        <v>167</v>
      </c>
      <c r="E7" s="15" t="s">
        <v>167</v>
      </c>
      <c r="F7" s="15">
        <v>200</v>
      </c>
      <c r="G7" s="132" t="s">
        <v>167</v>
      </c>
      <c r="H7" s="15">
        <f t="shared" si="0"/>
        <v>228</v>
      </c>
      <c r="I7" s="16">
        <v>240</v>
      </c>
      <c r="J7" s="16">
        <f t="shared" si="1"/>
        <v>240</v>
      </c>
      <c r="K7" s="16"/>
      <c r="L7" s="16">
        <f t="shared" si="2"/>
        <v>240</v>
      </c>
      <c r="M7" s="16"/>
      <c r="N7" s="16">
        <f aca="true" t="shared" si="3" ref="N7:N12">L7+M7</f>
        <v>240</v>
      </c>
      <c r="O7" s="17" t="s">
        <v>534</v>
      </c>
      <c r="Q7" s="15">
        <f>240*0.95</f>
        <v>228</v>
      </c>
      <c r="R7" s="15"/>
      <c r="S7" s="12"/>
      <c r="T7" s="12"/>
      <c r="U7" s="12"/>
      <c r="V7" s="12"/>
      <c r="W7" s="12"/>
    </row>
    <row r="8" spans="1:23" s="10" customFormat="1" ht="19.5" customHeight="1">
      <c r="A8" s="14" t="s">
        <v>180</v>
      </c>
      <c r="B8" s="382" t="s">
        <v>166</v>
      </c>
      <c r="C8" s="382"/>
      <c r="D8" s="15" t="s">
        <v>85</v>
      </c>
      <c r="E8" s="15" t="s">
        <v>85</v>
      </c>
      <c r="F8" s="15">
        <v>168</v>
      </c>
      <c r="G8" s="132" t="s">
        <v>85</v>
      </c>
      <c r="H8" s="15">
        <f t="shared" si="0"/>
        <v>332.5</v>
      </c>
      <c r="I8" s="16">
        <v>300</v>
      </c>
      <c r="J8" s="16">
        <f t="shared" si="1"/>
        <v>300</v>
      </c>
      <c r="K8" s="16"/>
      <c r="L8" s="16">
        <f t="shared" si="2"/>
        <v>300</v>
      </c>
      <c r="M8" s="16"/>
      <c r="N8" s="16">
        <f t="shared" si="3"/>
        <v>300</v>
      </c>
      <c r="O8" s="17" t="s">
        <v>535</v>
      </c>
      <c r="Q8" s="19">
        <f>350*0.95</f>
        <v>332.5</v>
      </c>
      <c r="R8" s="19"/>
      <c r="S8" s="12"/>
      <c r="T8" s="12"/>
      <c r="U8" s="12"/>
      <c r="V8" s="12"/>
      <c r="W8" s="12"/>
    </row>
    <row r="9" spans="1:23" s="10" customFormat="1" ht="19.5" customHeight="1">
      <c r="A9" s="14" t="s">
        <v>180</v>
      </c>
      <c r="B9" s="382" t="s">
        <v>166</v>
      </c>
      <c r="C9" s="382"/>
      <c r="D9" s="15">
        <v>5310</v>
      </c>
      <c r="E9" s="15">
        <v>5310</v>
      </c>
      <c r="F9" s="15">
        <v>4520</v>
      </c>
      <c r="G9" s="132">
        <v>5489</v>
      </c>
      <c r="H9" s="15">
        <f t="shared" si="0"/>
        <v>5044.5</v>
      </c>
      <c r="I9" s="16">
        <v>5045</v>
      </c>
      <c r="J9" s="16">
        <f t="shared" si="1"/>
        <v>5045</v>
      </c>
      <c r="K9" s="16"/>
      <c r="L9" s="16">
        <f t="shared" si="2"/>
        <v>5045</v>
      </c>
      <c r="M9" s="16"/>
      <c r="N9" s="16">
        <f t="shared" si="3"/>
        <v>5045</v>
      </c>
      <c r="O9" s="17" t="s">
        <v>536</v>
      </c>
      <c r="Q9" s="19">
        <f>5310*0.95</f>
        <v>5044.5</v>
      </c>
      <c r="R9" s="19"/>
      <c r="S9" s="12"/>
      <c r="T9" s="12"/>
      <c r="U9" s="12"/>
      <c r="V9" s="12"/>
      <c r="W9" s="12"/>
    </row>
    <row r="10" spans="1:23" s="10" customFormat="1" ht="19.5" customHeight="1">
      <c r="A10" s="14" t="s">
        <v>180</v>
      </c>
      <c r="B10" s="382" t="s">
        <v>166</v>
      </c>
      <c r="C10" s="382"/>
      <c r="D10" s="15" t="s">
        <v>537</v>
      </c>
      <c r="E10" s="15" t="s">
        <v>537</v>
      </c>
      <c r="F10" s="15">
        <v>394</v>
      </c>
      <c r="G10" s="132" t="s">
        <v>537</v>
      </c>
      <c r="H10" s="15">
        <f t="shared" si="0"/>
        <v>449.34999999999997</v>
      </c>
      <c r="I10" s="16">
        <v>473</v>
      </c>
      <c r="J10" s="16">
        <f t="shared" si="1"/>
        <v>473</v>
      </c>
      <c r="K10" s="16"/>
      <c r="L10" s="16">
        <f t="shared" si="2"/>
        <v>473</v>
      </c>
      <c r="M10" s="16"/>
      <c r="N10" s="16">
        <f t="shared" si="3"/>
        <v>473</v>
      </c>
      <c r="O10" s="17" t="s">
        <v>538</v>
      </c>
      <c r="Q10" s="19">
        <f>473*0.95</f>
        <v>449.34999999999997</v>
      </c>
      <c r="R10" s="19"/>
      <c r="S10" s="12"/>
      <c r="T10" s="12"/>
      <c r="U10" s="12"/>
      <c r="V10" s="12"/>
      <c r="W10" s="12"/>
    </row>
    <row r="11" spans="1:23" s="10" customFormat="1" ht="19.5" customHeight="1">
      <c r="A11" s="14" t="s">
        <v>180</v>
      </c>
      <c r="B11" s="382" t="s">
        <v>166</v>
      </c>
      <c r="C11" s="382"/>
      <c r="D11" s="15">
        <v>1353</v>
      </c>
      <c r="E11" s="15">
        <v>1353</v>
      </c>
      <c r="F11" s="15">
        <v>1128</v>
      </c>
      <c r="G11" s="132">
        <v>1353</v>
      </c>
      <c r="H11" s="15">
        <f t="shared" si="0"/>
        <v>1285.35</v>
      </c>
      <c r="I11" s="16">
        <v>1285</v>
      </c>
      <c r="J11" s="16">
        <f t="shared" si="1"/>
        <v>1285</v>
      </c>
      <c r="K11" s="16"/>
      <c r="L11" s="16">
        <f t="shared" si="2"/>
        <v>1285</v>
      </c>
      <c r="M11" s="16"/>
      <c r="N11" s="16">
        <f t="shared" si="3"/>
        <v>1285</v>
      </c>
      <c r="O11" s="17" t="s">
        <v>539</v>
      </c>
      <c r="Q11" s="19">
        <f>1353*0.95</f>
        <v>1285.35</v>
      </c>
      <c r="R11" s="19"/>
      <c r="S11" s="12"/>
      <c r="T11" s="12"/>
      <c r="U11" s="12"/>
      <c r="V11" s="12"/>
      <c r="W11" s="12"/>
    </row>
    <row r="12" spans="1:23" s="10" customFormat="1" ht="19.5" customHeight="1">
      <c r="A12" s="14" t="s">
        <v>180</v>
      </c>
      <c r="B12" s="382" t="s">
        <v>166</v>
      </c>
      <c r="C12" s="382"/>
      <c r="D12" s="15" t="s">
        <v>540</v>
      </c>
      <c r="E12" s="15" t="s">
        <v>540</v>
      </c>
      <c r="F12" s="15">
        <v>60</v>
      </c>
      <c r="G12" s="132" t="s">
        <v>540</v>
      </c>
      <c r="H12" s="15">
        <f t="shared" si="0"/>
        <v>68.39999999999999</v>
      </c>
      <c r="I12" s="16">
        <v>72</v>
      </c>
      <c r="J12" s="16">
        <f t="shared" si="1"/>
        <v>72</v>
      </c>
      <c r="K12" s="16"/>
      <c r="L12" s="16">
        <f t="shared" si="2"/>
        <v>72</v>
      </c>
      <c r="M12" s="16"/>
      <c r="N12" s="16">
        <f t="shared" si="3"/>
        <v>72</v>
      </c>
      <c r="O12" s="17" t="s">
        <v>541</v>
      </c>
      <c r="Q12" s="19">
        <f>72*0.95</f>
        <v>68.39999999999999</v>
      </c>
      <c r="R12" s="19"/>
      <c r="S12" s="12"/>
      <c r="T12" s="12"/>
      <c r="U12" s="12"/>
      <c r="V12" s="12"/>
      <c r="W12" s="12"/>
    </row>
    <row r="13" spans="1:23" s="10" customFormat="1" ht="19.5" customHeight="1">
      <c r="A13" s="386" t="s">
        <v>293</v>
      </c>
      <c r="B13" s="386"/>
      <c r="C13" s="386"/>
      <c r="D13" s="15">
        <v>67298</v>
      </c>
      <c r="E13" s="15">
        <v>64248</v>
      </c>
      <c r="F13" s="15">
        <v>55176</v>
      </c>
      <c r="G13" s="132">
        <v>72977</v>
      </c>
      <c r="H13" s="15">
        <f>SUM(H5:H12)</f>
        <v>63933.1</v>
      </c>
      <c r="I13" s="15">
        <f>SUM(I5:I12)</f>
        <v>63933</v>
      </c>
      <c r="J13" s="15">
        <f t="shared" si="1"/>
        <v>63933</v>
      </c>
      <c r="K13" s="15">
        <f>SUM(K5:K12)</f>
        <v>0</v>
      </c>
      <c r="L13" s="15">
        <f>SUM(L5:L12)</f>
        <v>63933</v>
      </c>
      <c r="M13" s="15">
        <f>SUM(M5:M12)</f>
        <v>0</v>
      </c>
      <c r="N13" s="15">
        <f>SUM(N5:N12)</f>
        <v>61433</v>
      </c>
      <c r="O13" s="17" t="s">
        <v>180</v>
      </c>
      <c r="Q13" s="19"/>
      <c r="R13" s="19"/>
      <c r="S13" s="12"/>
      <c r="T13" s="12"/>
      <c r="U13" s="12"/>
      <c r="V13" s="12"/>
      <c r="W13" s="12"/>
    </row>
    <row r="14" spans="1:23" s="10" customFormat="1" ht="19.5" customHeight="1">
      <c r="A14" s="381" t="s">
        <v>89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Q14" s="13"/>
      <c r="R14" s="13"/>
      <c r="S14" s="12"/>
      <c r="T14" s="12"/>
      <c r="U14" s="12"/>
      <c r="V14" s="12"/>
      <c r="W14" s="12"/>
    </row>
    <row r="15" spans="1:23" s="10" customFormat="1" ht="19.5" customHeight="1">
      <c r="A15" s="14" t="s">
        <v>180</v>
      </c>
      <c r="B15" s="382" t="s">
        <v>166</v>
      </c>
      <c r="C15" s="382"/>
      <c r="D15" s="15">
        <v>45540</v>
      </c>
      <c r="E15" s="15">
        <v>45522</v>
      </c>
      <c r="F15" s="15">
        <v>38959</v>
      </c>
      <c r="G15" s="132">
        <v>46768</v>
      </c>
      <c r="H15" s="15">
        <f>Q15</f>
        <v>44429.6</v>
      </c>
      <c r="I15" s="16">
        <v>44500</v>
      </c>
      <c r="J15" s="16">
        <f>I15</f>
        <v>44500</v>
      </c>
      <c r="K15" s="16"/>
      <c r="L15" s="16">
        <f>J15+K15</f>
        <v>44500</v>
      </c>
      <c r="M15" s="16"/>
      <c r="N15" s="16">
        <f>L15+M15</f>
        <v>44500</v>
      </c>
      <c r="O15" s="17" t="s">
        <v>100</v>
      </c>
      <c r="Q15" s="19">
        <f>46768*0.95</f>
        <v>44429.6</v>
      </c>
      <c r="R15" s="19"/>
      <c r="S15" s="12"/>
      <c r="T15" s="12"/>
      <c r="U15" s="12"/>
      <c r="V15" s="12"/>
      <c r="W15" s="12"/>
    </row>
    <row r="16" spans="1:23" s="10" customFormat="1" ht="19.5" customHeight="1">
      <c r="A16" s="14" t="s">
        <v>180</v>
      </c>
      <c r="B16" s="382" t="s">
        <v>166</v>
      </c>
      <c r="C16" s="382"/>
      <c r="D16" s="15" t="s">
        <v>537</v>
      </c>
      <c r="E16" s="15" t="s">
        <v>537</v>
      </c>
      <c r="F16" s="133">
        <v>394</v>
      </c>
      <c r="G16" s="132" t="s">
        <v>537</v>
      </c>
      <c r="H16" s="15">
        <f>Q16</f>
        <v>449.34999999999997</v>
      </c>
      <c r="I16" s="16">
        <v>473</v>
      </c>
      <c r="J16" s="16">
        <f>I16</f>
        <v>473</v>
      </c>
      <c r="K16" s="16"/>
      <c r="L16" s="16">
        <f>J16+K16</f>
        <v>473</v>
      </c>
      <c r="M16" s="16"/>
      <c r="N16" s="16">
        <f>L16+M16</f>
        <v>473</v>
      </c>
      <c r="O16" s="17" t="s">
        <v>101</v>
      </c>
      <c r="Q16" s="19">
        <f>473*0.95</f>
        <v>449.34999999999997</v>
      </c>
      <c r="R16" s="19"/>
      <c r="S16" s="12"/>
      <c r="T16" s="12"/>
      <c r="U16" s="12"/>
      <c r="V16" s="12"/>
      <c r="W16" s="12"/>
    </row>
    <row r="17" spans="1:23" s="10" customFormat="1" ht="19.5" customHeight="1">
      <c r="A17" s="386" t="s">
        <v>92</v>
      </c>
      <c r="B17" s="386"/>
      <c r="C17" s="386"/>
      <c r="D17" s="15">
        <v>46013</v>
      </c>
      <c r="E17" s="15">
        <v>45995</v>
      </c>
      <c r="F17" s="15">
        <v>39354</v>
      </c>
      <c r="G17" s="132">
        <v>47241</v>
      </c>
      <c r="H17" s="15">
        <f>SUM(H15:H16)</f>
        <v>44878.95</v>
      </c>
      <c r="I17" s="15">
        <f>SUM(I15:I16)</f>
        <v>44973</v>
      </c>
      <c r="J17" s="15">
        <f>I17</f>
        <v>44973</v>
      </c>
      <c r="K17" s="16">
        <f>K16+K15</f>
        <v>0</v>
      </c>
      <c r="L17" s="16">
        <f>L15+L16</f>
        <v>44973</v>
      </c>
      <c r="M17" s="16">
        <f>M16+M15</f>
        <v>0</v>
      </c>
      <c r="N17" s="16">
        <f>N16+N15</f>
        <v>44973</v>
      </c>
      <c r="O17" s="17" t="s">
        <v>180</v>
      </c>
      <c r="Q17" s="19"/>
      <c r="R17" s="19"/>
      <c r="S17" s="12"/>
      <c r="T17" s="12"/>
      <c r="U17" s="12"/>
      <c r="V17" s="12"/>
      <c r="W17" s="12"/>
    </row>
    <row r="18" spans="1:23" s="10" customFormat="1" ht="19.5" customHeight="1">
      <c r="A18" s="381" t="s">
        <v>102</v>
      </c>
      <c r="B18" s="381"/>
      <c r="C18" s="381"/>
      <c r="D18" s="381"/>
      <c r="E18" s="381"/>
      <c r="F18" s="381"/>
      <c r="G18" s="381"/>
      <c r="H18" s="381"/>
      <c r="I18" s="381"/>
      <c r="J18" s="381"/>
      <c r="K18" s="381"/>
      <c r="L18" s="381"/>
      <c r="M18" s="381"/>
      <c r="N18" s="381"/>
      <c r="O18" s="381"/>
      <c r="Q18" s="13"/>
      <c r="R18" s="13"/>
      <c r="S18" s="12"/>
      <c r="T18" s="12"/>
      <c r="U18" s="12"/>
      <c r="V18" s="12"/>
      <c r="W18" s="12"/>
    </row>
    <row r="19" spans="1:23" s="10" customFormat="1" ht="31.5" customHeight="1">
      <c r="A19" s="14" t="s">
        <v>180</v>
      </c>
      <c r="B19" s="382" t="s">
        <v>103</v>
      </c>
      <c r="C19" s="382"/>
      <c r="D19" s="15">
        <v>192501</v>
      </c>
      <c r="E19" s="15">
        <v>188401</v>
      </c>
      <c r="F19" s="15">
        <v>157958</v>
      </c>
      <c r="G19" s="132">
        <v>249988</v>
      </c>
      <c r="H19" s="15">
        <f>Q19</f>
        <v>182875.94999999998</v>
      </c>
      <c r="I19" s="16">
        <v>182876</v>
      </c>
      <c r="J19" s="16">
        <f>I19</f>
        <v>182876</v>
      </c>
      <c r="K19" s="16"/>
      <c r="L19" s="16">
        <f>J19+K19</f>
        <v>182876</v>
      </c>
      <c r="M19" s="16"/>
      <c r="N19" s="16">
        <v>177876</v>
      </c>
      <c r="O19" s="17" t="s">
        <v>104</v>
      </c>
      <c r="Q19" s="19">
        <f>192501*0.95</f>
        <v>182875.94999999998</v>
      </c>
      <c r="R19" s="19"/>
      <c r="S19" s="12"/>
      <c r="T19" s="12"/>
      <c r="U19" s="12"/>
      <c r="V19" s="12"/>
      <c r="W19" s="12"/>
    </row>
    <row r="20" spans="1:23" s="10" customFormat="1" ht="26.25" customHeight="1">
      <c r="A20" s="14" t="s">
        <v>180</v>
      </c>
      <c r="B20" s="382" t="s">
        <v>103</v>
      </c>
      <c r="C20" s="382"/>
      <c r="D20" s="15">
        <v>11000</v>
      </c>
      <c r="E20" s="15">
        <v>9767</v>
      </c>
      <c r="F20" s="15">
        <v>8139</v>
      </c>
      <c r="G20" s="132">
        <v>11000</v>
      </c>
      <c r="H20" s="15">
        <f>Q20</f>
        <v>10450</v>
      </c>
      <c r="I20" s="16">
        <v>10450</v>
      </c>
      <c r="J20" s="16">
        <f>I20</f>
        <v>10450</v>
      </c>
      <c r="K20" s="16"/>
      <c r="L20" s="16">
        <f>J20+K20</f>
        <v>10450</v>
      </c>
      <c r="M20" s="16"/>
      <c r="N20" s="16">
        <v>9810</v>
      </c>
      <c r="O20" s="17" t="s">
        <v>105</v>
      </c>
      <c r="Q20" s="19">
        <f>11000*0.95</f>
        <v>10450</v>
      </c>
      <c r="R20" s="19"/>
      <c r="S20" s="12"/>
      <c r="T20" s="12"/>
      <c r="U20" s="12"/>
      <c r="V20" s="12"/>
      <c r="W20" s="12"/>
    </row>
    <row r="21" spans="1:23" s="10" customFormat="1" ht="29.25" customHeight="1">
      <c r="A21" s="14" t="s">
        <v>180</v>
      </c>
      <c r="B21" s="382" t="s">
        <v>103</v>
      </c>
      <c r="C21" s="382"/>
      <c r="D21" s="15" t="s">
        <v>282</v>
      </c>
      <c r="E21" s="15" t="s">
        <v>106</v>
      </c>
      <c r="F21" s="15" t="s">
        <v>107</v>
      </c>
      <c r="G21" s="132" t="s">
        <v>282</v>
      </c>
      <c r="H21" s="15">
        <f>Q21</f>
        <v>475</v>
      </c>
      <c r="I21" s="16">
        <v>475</v>
      </c>
      <c r="J21" s="16">
        <f>I21</f>
        <v>475</v>
      </c>
      <c r="K21" s="16"/>
      <c r="L21" s="16">
        <f>J21+K21</f>
        <v>475</v>
      </c>
      <c r="M21" s="16"/>
      <c r="N21" s="16">
        <f>L21+M21</f>
        <v>475</v>
      </c>
      <c r="O21" s="17" t="s">
        <v>108</v>
      </c>
      <c r="Q21" s="19">
        <f>500*0.95</f>
        <v>475</v>
      </c>
      <c r="R21" s="19"/>
      <c r="S21" s="12"/>
      <c r="T21" s="12"/>
      <c r="U21" s="12"/>
      <c r="V21" s="12"/>
      <c r="W21" s="12"/>
    </row>
    <row r="22" spans="1:23" s="10" customFormat="1" ht="30" customHeight="1">
      <c r="A22" s="14" t="s">
        <v>180</v>
      </c>
      <c r="B22" s="382" t="s">
        <v>103</v>
      </c>
      <c r="C22" s="382"/>
      <c r="D22" s="15">
        <v>3500</v>
      </c>
      <c r="E22" s="15">
        <v>890</v>
      </c>
      <c r="F22" s="15" t="s">
        <v>179</v>
      </c>
      <c r="G22" s="132">
        <v>5000</v>
      </c>
      <c r="H22" s="15">
        <f>Q22</f>
        <v>3325</v>
      </c>
      <c r="I22" s="20">
        <v>0</v>
      </c>
      <c r="J22" s="16">
        <f>I22</f>
        <v>0</v>
      </c>
      <c r="K22" s="16"/>
      <c r="L22" s="16">
        <f>J22+K22</f>
        <v>0</v>
      </c>
      <c r="M22" s="16"/>
      <c r="N22" s="16">
        <v>640</v>
      </c>
      <c r="O22" s="17" t="s">
        <v>215</v>
      </c>
      <c r="Q22" s="19">
        <f>3500*0.95</f>
        <v>3325</v>
      </c>
      <c r="R22" s="19"/>
      <c r="S22" s="12"/>
      <c r="T22" s="12"/>
      <c r="U22" s="12"/>
      <c r="V22" s="12"/>
      <c r="W22" s="12"/>
    </row>
    <row r="23" spans="1:23" s="10" customFormat="1" ht="19.5" customHeight="1">
      <c r="A23" s="386" t="s">
        <v>109</v>
      </c>
      <c r="B23" s="386"/>
      <c r="C23" s="386"/>
      <c r="D23" s="15">
        <v>207501</v>
      </c>
      <c r="E23" s="15">
        <v>199493</v>
      </c>
      <c r="F23" s="15">
        <v>166528</v>
      </c>
      <c r="G23" s="132">
        <v>266488</v>
      </c>
      <c r="H23" s="15">
        <f>SUM(H19:H22)</f>
        <v>197125.94999999998</v>
      </c>
      <c r="I23" s="15">
        <f>SUM(I19:I22)</f>
        <v>193801</v>
      </c>
      <c r="J23" s="15">
        <f>I23</f>
        <v>193801</v>
      </c>
      <c r="K23" s="16">
        <f>K19+K20+K21+K22</f>
        <v>0</v>
      </c>
      <c r="L23" s="16">
        <f>L19+L20+L21+L22</f>
        <v>193801</v>
      </c>
      <c r="M23" s="16">
        <f>M19+M20+M21+M22</f>
        <v>0</v>
      </c>
      <c r="N23" s="16">
        <f>N19+N20+N21+N22</f>
        <v>188801</v>
      </c>
      <c r="O23" s="17" t="s">
        <v>180</v>
      </c>
      <c r="Q23" s="19"/>
      <c r="R23" s="19"/>
      <c r="S23" s="12"/>
      <c r="T23" s="12"/>
      <c r="U23" s="12"/>
      <c r="V23" s="12"/>
      <c r="W23" s="12"/>
    </row>
    <row r="24" spans="1:23" s="10" customFormat="1" ht="19.5" customHeight="1">
      <c r="A24" s="387" t="s">
        <v>110</v>
      </c>
      <c r="B24" s="387"/>
      <c r="C24" s="387"/>
      <c r="D24" s="21">
        <v>320812</v>
      </c>
      <c r="E24" s="21">
        <v>309736</v>
      </c>
      <c r="F24" s="21">
        <v>261058</v>
      </c>
      <c r="G24" s="21">
        <v>386706</v>
      </c>
      <c r="H24" s="21">
        <f>H13+H17+H23</f>
        <v>305938</v>
      </c>
      <c r="I24" s="21">
        <f>I13+I17+I23</f>
        <v>302707</v>
      </c>
      <c r="J24" s="21">
        <f>J13+J17+J23</f>
        <v>302707</v>
      </c>
      <c r="K24" s="22">
        <f>K23+K17+K13</f>
        <v>0</v>
      </c>
      <c r="L24" s="22">
        <f>L23+L17+L13</f>
        <v>302707</v>
      </c>
      <c r="M24" s="22">
        <f>M23+M17+M13</f>
        <v>0</v>
      </c>
      <c r="N24" s="22">
        <f>N23+N17+N13</f>
        <v>295207</v>
      </c>
      <c r="O24" s="23" t="s">
        <v>180</v>
      </c>
      <c r="Q24" s="24"/>
      <c r="R24" s="24"/>
      <c r="S24" s="12"/>
      <c r="T24" s="12"/>
      <c r="U24" s="12"/>
      <c r="V24" s="12"/>
      <c r="W24" s="12"/>
    </row>
    <row r="25" spans="1:23" s="10" customFormat="1" ht="19.5" customHeight="1">
      <c r="A25" s="388" t="s">
        <v>111</v>
      </c>
      <c r="B25" s="388"/>
      <c r="C25" s="388"/>
      <c r="D25" s="388"/>
      <c r="E25" s="388"/>
      <c r="F25" s="388"/>
      <c r="G25" s="388"/>
      <c r="H25" s="388"/>
      <c r="I25" s="388"/>
      <c r="J25" s="388"/>
      <c r="K25" s="388"/>
      <c r="L25" s="388"/>
      <c r="M25" s="388"/>
      <c r="N25" s="388"/>
      <c r="O25" s="388"/>
      <c r="Q25" s="13"/>
      <c r="R25" s="13"/>
      <c r="S25" s="12"/>
      <c r="T25" s="12"/>
      <c r="U25" s="12"/>
      <c r="V25" s="12"/>
      <c r="W25" s="12"/>
    </row>
    <row r="26" spans="1:23" s="10" customFormat="1" ht="19.5" customHeight="1">
      <c r="A26" s="381" t="s">
        <v>389</v>
      </c>
      <c r="B26" s="381"/>
      <c r="C26" s="381"/>
      <c r="D26" s="381"/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Q26" s="13"/>
      <c r="R26" s="13"/>
      <c r="S26" s="12"/>
      <c r="T26" s="12"/>
      <c r="U26" s="12"/>
      <c r="V26" s="12"/>
      <c r="W26" s="12"/>
    </row>
    <row r="27" spans="1:23" s="10" customFormat="1" ht="36.75" customHeight="1">
      <c r="A27" s="14" t="s">
        <v>180</v>
      </c>
      <c r="B27" s="382" t="s">
        <v>166</v>
      </c>
      <c r="C27" s="382"/>
      <c r="D27" s="15" t="s">
        <v>260</v>
      </c>
      <c r="E27" s="15" t="s">
        <v>260</v>
      </c>
      <c r="F27" s="15" t="s">
        <v>189</v>
      </c>
      <c r="G27" s="132" t="s">
        <v>278</v>
      </c>
      <c r="H27" s="15">
        <f>Q27</f>
        <v>47.5</v>
      </c>
      <c r="I27" s="16">
        <v>48</v>
      </c>
      <c r="J27" s="16">
        <v>48</v>
      </c>
      <c r="K27" s="16"/>
      <c r="L27" s="16">
        <f>J27+K27</f>
        <v>48</v>
      </c>
      <c r="M27" s="16"/>
      <c r="N27" s="16">
        <f>L27+M27</f>
        <v>48</v>
      </c>
      <c r="O27" s="17" t="s">
        <v>112</v>
      </c>
      <c r="Q27" s="19">
        <f>50*0.95</f>
        <v>47.5</v>
      </c>
      <c r="R27" s="19"/>
      <c r="S27" s="12"/>
      <c r="T27" s="12"/>
      <c r="U27" s="12"/>
      <c r="V27" s="12"/>
      <c r="W27" s="12"/>
    </row>
    <row r="28" spans="1:23" s="10" customFormat="1" ht="19.5" customHeight="1">
      <c r="A28" s="386" t="s">
        <v>390</v>
      </c>
      <c r="B28" s="386"/>
      <c r="C28" s="386"/>
      <c r="D28" s="15" t="s">
        <v>260</v>
      </c>
      <c r="E28" s="15" t="s">
        <v>260</v>
      </c>
      <c r="F28" s="15" t="s">
        <v>189</v>
      </c>
      <c r="G28" s="132" t="s">
        <v>278</v>
      </c>
      <c r="H28" s="15">
        <f>SUM(H27)</f>
        <v>47.5</v>
      </c>
      <c r="I28" s="15">
        <f>SUM(I27)</f>
        <v>48</v>
      </c>
      <c r="J28" s="15">
        <f>SUM(J27)</f>
        <v>48</v>
      </c>
      <c r="K28" s="16">
        <f aca="true" t="shared" si="4" ref="K28:M29">K27</f>
        <v>0</v>
      </c>
      <c r="L28" s="16">
        <f t="shared" si="4"/>
        <v>48</v>
      </c>
      <c r="M28" s="16">
        <f t="shared" si="4"/>
        <v>0</v>
      </c>
      <c r="N28" s="16">
        <f>L28+M28</f>
        <v>48</v>
      </c>
      <c r="O28" s="17" t="s">
        <v>180</v>
      </c>
      <c r="Q28" s="19"/>
      <c r="R28" s="19"/>
      <c r="S28" s="12"/>
      <c r="T28" s="12"/>
      <c r="U28" s="12"/>
      <c r="V28" s="12"/>
      <c r="W28" s="12"/>
    </row>
    <row r="29" spans="1:23" s="10" customFormat="1" ht="27.75" customHeight="1">
      <c r="A29" s="387" t="s">
        <v>113</v>
      </c>
      <c r="B29" s="387"/>
      <c r="C29" s="387"/>
      <c r="D29" s="21" t="s">
        <v>260</v>
      </c>
      <c r="E29" s="21" t="s">
        <v>260</v>
      </c>
      <c r="F29" s="21" t="s">
        <v>189</v>
      </c>
      <c r="G29" s="21" t="s">
        <v>278</v>
      </c>
      <c r="H29" s="21">
        <f>H28</f>
        <v>47.5</v>
      </c>
      <c r="I29" s="21">
        <f>I28</f>
        <v>48</v>
      </c>
      <c r="J29" s="22">
        <f>I29</f>
        <v>48</v>
      </c>
      <c r="K29" s="22">
        <f t="shared" si="4"/>
        <v>0</v>
      </c>
      <c r="L29" s="22">
        <f t="shared" si="4"/>
        <v>48</v>
      </c>
      <c r="M29" s="22">
        <f t="shared" si="4"/>
        <v>0</v>
      </c>
      <c r="N29" s="22">
        <f>L29+M29</f>
        <v>48</v>
      </c>
      <c r="O29" s="23" t="s">
        <v>180</v>
      </c>
      <c r="Q29" s="24"/>
      <c r="R29" s="24"/>
      <c r="S29" s="12"/>
      <c r="T29" s="12"/>
      <c r="U29" s="12"/>
      <c r="V29" s="12"/>
      <c r="W29" s="12"/>
    </row>
    <row r="30" spans="1:23" s="10" customFormat="1" ht="19.5" customHeight="1">
      <c r="A30" s="388" t="s">
        <v>114</v>
      </c>
      <c r="B30" s="388"/>
      <c r="C30" s="388"/>
      <c r="D30" s="388"/>
      <c r="E30" s="388"/>
      <c r="F30" s="388"/>
      <c r="G30" s="388"/>
      <c r="H30" s="388"/>
      <c r="I30" s="388"/>
      <c r="J30" s="388"/>
      <c r="K30" s="388"/>
      <c r="L30" s="388"/>
      <c r="M30" s="388"/>
      <c r="N30" s="388"/>
      <c r="O30" s="388"/>
      <c r="Q30" s="13"/>
      <c r="R30" s="13"/>
      <c r="S30" s="12"/>
      <c r="T30" s="12"/>
      <c r="U30" s="12"/>
      <c r="V30" s="12"/>
      <c r="W30" s="12"/>
    </row>
    <row r="31" spans="1:23" s="10" customFormat="1" ht="19.5" customHeight="1">
      <c r="A31" s="381" t="s">
        <v>115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Q31" s="13"/>
      <c r="R31" s="13"/>
      <c r="S31" s="12"/>
      <c r="T31" s="12"/>
      <c r="U31" s="12"/>
      <c r="V31" s="12"/>
      <c r="W31" s="12"/>
    </row>
    <row r="32" spans="1:23" s="10" customFormat="1" ht="27.75" customHeight="1">
      <c r="A32" s="14" t="s">
        <v>180</v>
      </c>
      <c r="B32" s="382" t="s">
        <v>166</v>
      </c>
      <c r="C32" s="382"/>
      <c r="D32" s="15" t="s">
        <v>352</v>
      </c>
      <c r="E32" s="15" t="s">
        <v>352</v>
      </c>
      <c r="F32" s="15">
        <v>75</v>
      </c>
      <c r="G32" s="132" t="s">
        <v>352</v>
      </c>
      <c r="H32" s="15">
        <f>Q32</f>
        <v>190</v>
      </c>
      <c r="I32" s="16">
        <v>190</v>
      </c>
      <c r="J32" s="16">
        <v>190</v>
      </c>
      <c r="K32" s="16"/>
      <c r="L32" s="16">
        <f>J32+K32</f>
        <v>190</v>
      </c>
      <c r="M32" s="16"/>
      <c r="N32" s="16">
        <f>L32+M32</f>
        <v>190</v>
      </c>
      <c r="O32" s="17" t="s">
        <v>295</v>
      </c>
      <c r="Q32" s="19">
        <f>200*0.95</f>
        <v>190</v>
      </c>
      <c r="R32" s="19"/>
      <c r="S32" s="12"/>
      <c r="T32" s="12"/>
      <c r="U32" s="12"/>
      <c r="V32" s="12"/>
      <c r="W32" s="12"/>
    </row>
    <row r="33" spans="1:23" s="10" customFormat="1" ht="19.5" customHeight="1">
      <c r="A33" s="386" t="s">
        <v>296</v>
      </c>
      <c r="B33" s="386"/>
      <c r="C33" s="386"/>
      <c r="D33" s="15" t="s">
        <v>352</v>
      </c>
      <c r="E33" s="15" t="s">
        <v>352</v>
      </c>
      <c r="F33" s="15">
        <v>75</v>
      </c>
      <c r="G33" s="132" t="s">
        <v>352</v>
      </c>
      <c r="H33" s="15">
        <f>SUM(H32)</f>
        <v>190</v>
      </c>
      <c r="I33" s="15">
        <f>SUM(I32)</f>
        <v>190</v>
      </c>
      <c r="J33" s="16">
        <f>I33</f>
        <v>190</v>
      </c>
      <c r="K33" s="16">
        <f>K32</f>
        <v>0</v>
      </c>
      <c r="L33" s="16">
        <f>L32</f>
        <v>190</v>
      </c>
      <c r="M33" s="16">
        <f>M32</f>
        <v>0</v>
      </c>
      <c r="N33" s="16">
        <f>L33+M33</f>
        <v>190</v>
      </c>
      <c r="O33" s="17" t="s">
        <v>180</v>
      </c>
      <c r="Q33" s="19"/>
      <c r="R33" s="19"/>
      <c r="S33" s="12"/>
      <c r="T33" s="12"/>
      <c r="U33" s="12"/>
      <c r="V33" s="12"/>
      <c r="W33" s="12"/>
    </row>
    <row r="34" spans="1:23" s="10" customFormat="1" ht="19.5" customHeight="1">
      <c r="A34" s="381" t="s">
        <v>389</v>
      </c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  <c r="O34" s="381"/>
      <c r="Q34" s="13"/>
      <c r="R34" s="13"/>
      <c r="S34" s="12"/>
      <c r="T34" s="12"/>
      <c r="U34" s="12"/>
      <c r="V34" s="12"/>
      <c r="W34" s="12"/>
    </row>
    <row r="35" spans="1:23" s="10" customFormat="1" ht="19.5" customHeight="1">
      <c r="A35" s="14" t="s">
        <v>180</v>
      </c>
      <c r="B35" s="382" t="s">
        <v>166</v>
      </c>
      <c r="C35" s="382"/>
      <c r="D35" s="15" t="s">
        <v>135</v>
      </c>
      <c r="E35" s="15">
        <v>320</v>
      </c>
      <c r="F35" s="15">
        <v>286</v>
      </c>
      <c r="G35" s="132" t="s">
        <v>135</v>
      </c>
      <c r="H35" s="15">
        <f>Q35</f>
        <v>285</v>
      </c>
      <c r="I35" s="16">
        <v>285</v>
      </c>
      <c r="J35" s="16">
        <v>285</v>
      </c>
      <c r="K35" s="16"/>
      <c r="L35" s="16">
        <f>J35+K35</f>
        <v>285</v>
      </c>
      <c r="M35" s="16"/>
      <c r="N35" s="16">
        <f>L35+M35</f>
        <v>285</v>
      </c>
      <c r="O35" s="17" t="s">
        <v>297</v>
      </c>
      <c r="Q35" s="19">
        <f>300*0.95</f>
        <v>285</v>
      </c>
      <c r="R35" s="19"/>
      <c r="S35" s="12"/>
      <c r="T35" s="12"/>
      <c r="U35" s="12"/>
      <c r="V35" s="12"/>
      <c r="W35" s="12"/>
    </row>
    <row r="36" spans="1:23" s="10" customFormat="1" ht="19.5" customHeight="1">
      <c r="A36" s="386" t="s">
        <v>390</v>
      </c>
      <c r="B36" s="386"/>
      <c r="C36" s="386"/>
      <c r="D36" s="15" t="s">
        <v>135</v>
      </c>
      <c r="E36" s="15">
        <v>320</v>
      </c>
      <c r="F36" s="15">
        <v>286</v>
      </c>
      <c r="G36" s="132" t="s">
        <v>135</v>
      </c>
      <c r="H36" s="15">
        <f>SUM(H35)</f>
        <v>285</v>
      </c>
      <c r="I36" s="15">
        <f>SUM(I35)</f>
        <v>285</v>
      </c>
      <c r="J36" s="15">
        <f>I36</f>
        <v>285</v>
      </c>
      <c r="K36" s="16">
        <f>K35</f>
        <v>0</v>
      </c>
      <c r="L36" s="16">
        <f>L35</f>
        <v>285</v>
      </c>
      <c r="M36" s="16">
        <f>M35</f>
        <v>0</v>
      </c>
      <c r="N36" s="16">
        <f>L36+M36</f>
        <v>285</v>
      </c>
      <c r="O36" s="17" t="s">
        <v>180</v>
      </c>
      <c r="Q36" s="19"/>
      <c r="R36" s="19"/>
      <c r="S36" s="12"/>
      <c r="T36" s="12"/>
      <c r="U36" s="12"/>
      <c r="V36" s="12"/>
      <c r="W36" s="12"/>
    </row>
    <row r="37" spans="1:23" s="10" customFormat="1" ht="27.75" customHeight="1">
      <c r="A37" s="387" t="s">
        <v>298</v>
      </c>
      <c r="B37" s="387"/>
      <c r="C37" s="387"/>
      <c r="D37" s="21" t="s">
        <v>282</v>
      </c>
      <c r="E37" s="21">
        <v>520</v>
      </c>
      <c r="F37" s="21">
        <v>361</v>
      </c>
      <c r="G37" s="21" t="s">
        <v>282</v>
      </c>
      <c r="H37" s="21">
        <f>H33+H36</f>
        <v>475</v>
      </c>
      <c r="I37" s="21">
        <f>I33+I36</f>
        <v>475</v>
      </c>
      <c r="J37" s="22">
        <v>475</v>
      </c>
      <c r="K37" s="22">
        <f>K36+K33</f>
        <v>0</v>
      </c>
      <c r="L37" s="22">
        <f>L36+L33</f>
        <v>475</v>
      </c>
      <c r="M37" s="22">
        <f>M36+M33</f>
        <v>0</v>
      </c>
      <c r="N37" s="22">
        <f>N36+N33</f>
        <v>475</v>
      </c>
      <c r="O37" s="23"/>
      <c r="Q37" s="24"/>
      <c r="R37" s="24"/>
      <c r="S37" s="12"/>
      <c r="T37" s="12"/>
      <c r="U37" s="12"/>
      <c r="V37" s="12"/>
      <c r="W37" s="12"/>
    </row>
    <row r="38" spans="1:23" s="10" customFormat="1" ht="19.5" customHeight="1">
      <c r="A38" s="388" t="s">
        <v>299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Q38" s="13"/>
      <c r="R38" s="13"/>
      <c r="S38" s="12"/>
      <c r="T38" s="12"/>
      <c r="U38" s="12"/>
      <c r="V38" s="12"/>
      <c r="W38" s="12"/>
    </row>
    <row r="39" spans="1:23" s="10" customFormat="1" ht="19.5" customHeight="1">
      <c r="A39" s="381" t="s">
        <v>21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Q39" s="13"/>
      <c r="R39" s="13"/>
      <c r="S39" s="12"/>
      <c r="T39" s="12"/>
      <c r="U39" s="12"/>
      <c r="V39" s="12"/>
      <c r="W39" s="12"/>
    </row>
    <row r="40" spans="1:23" s="10" customFormat="1" ht="19.5" customHeight="1">
      <c r="A40" s="14" t="s">
        <v>180</v>
      </c>
      <c r="B40" s="382" t="s">
        <v>166</v>
      </c>
      <c r="C40" s="382"/>
      <c r="D40" s="15" t="s">
        <v>300</v>
      </c>
      <c r="E40" s="15" t="s">
        <v>300</v>
      </c>
      <c r="F40" s="15">
        <v>462</v>
      </c>
      <c r="G40" s="132" t="s">
        <v>301</v>
      </c>
      <c r="H40" s="15">
        <f>Q40</f>
        <v>537.6999999999999</v>
      </c>
      <c r="I40" s="16">
        <v>538</v>
      </c>
      <c r="J40" s="16">
        <v>538</v>
      </c>
      <c r="K40" s="16"/>
      <c r="L40" s="16">
        <f>J40+K40</f>
        <v>538</v>
      </c>
      <c r="M40" s="16"/>
      <c r="N40" s="16">
        <f>L40+M40</f>
        <v>538</v>
      </c>
      <c r="O40" s="17" t="s">
        <v>545</v>
      </c>
      <c r="Q40" s="19">
        <f>566*0.95</f>
        <v>537.6999999999999</v>
      </c>
      <c r="R40" s="19"/>
      <c r="S40" s="12"/>
      <c r="T40" s="12"/>
      <c r="U40" s="12"/>
      <c r="V40" s="12"/>
      <c r="W40" s="12"/>
    </row>
    <row r="41" spans="1:23" s="10" customFormat="1" ht="29.25" customHeight="1">
      <c r="A41" s="14" t="s">
        <v>180</v>
      </c>
      <c r="B41" s="382" t="s">
        <v>166</v>
      </c>
      <c r="C41" s="382"/>
      <c r="D41" s="15" t="s">
        <v>179</v>
      </c>
      <c r="E41" s="15" t="s">
        <v>179</v>
      </c>
      <c r="F41" s="15">
        <v>8</v>
      </c>
      <c r="G41" s="132" t="s">
        <v>546</v>
      </c>
      <c r="H41" s="15">
        <f>Q41</f>
        <v>0</v>
      </c>
      <c r="I41" s="16">
        <v>0</v>
      </c>
      <c r="J41" s="16">
        <v>26</v>
      </c>
      <c r="K41" s="16"/>
      <c r="L41" s="16">
        <f>J41+K41</f>
        <v>26</v>
      </c>
      <c r="M41" s="16"/>
      <c r="N41" s="16">
        <f>L41+M41</f>
        <v>26</v>
      </c>
      <c r="O41" s="17" t="s">
        <v>547</v>
      </c>
      <c r="Q41" s="19">
        <v>0</v>
      </c>
      <c r="R41" s="19"/>
      <c r="S41" s="12"/>
      <c r="T41" s="12"/>
      <c r="U41" s="12"/>
      <c r="V41" s="12"/>
      <c r="W41" s="12"/>
    </row>
    <row r="42" spans="1:23" s="10" customFormat="1" ht="19.5" customHeight="1">
      <c r="A42" s="386" t="s">
        <v>26</v>
      </c>
      <c r="B42" s="386"/>
      <c r="C42" s="386"/>
      <c r="D42" s="15" t="s">
        <v>300</v>
      </c>
      <c r="E42" s="15" t="s">
        <v>300</v>
      </c>
      <c r="F42" s="15">
        <v>470</v>
      </c>
      <c r="G42" s="132" t="s">
        <v>548</v>
      </c>
      <c r="H42" s="15">
        <f>SUM(H40:H41)</f>
        <v>537.6999999999999</v>
      </c>
      <c r="I42" s="15">
        <f>SUM(I40:I41)</f>
        <v>538</v>
      </c>
      <c r="J42" s="15">
        <f>J40+J41</f>
        <v>564</v>
      </c>
      <c r="K42" s="16">
        <f>K40+K41</f>
        <v>0</v>
      </c>
      <c r="L42" s="16">
        <f>L40+L41</f>
        <v>564</v>
      </c>
      <c r="M42" s="16">
        <f>M40+M41</f>
        <v>0</v>
      </c>
      <c r="N42" s="16">
        <f>N40+N41</f>
        <v>564</v>
      </c>
      <c r="O42" s="17" t="s">
        <v>180</v>
      </c>
      <c r="Q42" s="19"/>
      <c r="R42" s="19"/>
      <c r="S42" s="12"/>
      <c r="T42" s="12"/>
      <c r="U42" s="12"/>
      <c r="V42" s="12"/>
      <c r="W42" s="12"/>
    </row>
    <row r="43" spans="1:23" s="10" customFormat="1" ht="19.5" customHeight="1">
      <c r="A43" s="381" t="s">
        <v>72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Q43" s="13"/>
      <c r="R43" s="13"/>
      <c r="S43" s="12"/>
      <c r="T43" s="12"/>
      <c r="U43" s="12"/>
      <c r="V43" s="12"/>
      <c r="W43" s="12"/>
    </row>
    <row r="44" spans="1:23" s="10" customFormat="1" ht="29.25" customHeight="1">
      <c r="A44" s="14" t="s">
        <v>180</v>
      </c>
      <c r="B44" s="382" t="s">
        <v>166</v>
      </c>
      <c r="C44" s="382"/>
      <c r="D44" s="15" t="s">
        <v>549</v>
      </c>
      <c r="E44" s="15" t="s">
        <v>549</v>
      </c>
      <c r="F44" s="15">
        <v>401</v>
      </c>
      <c r="G44" s="132" t="s">
        <v>550</v>
      </c>
      <c r="H44" s="15">
        <f>Q44</f>
        <v>484.5</v>
      </c>
      <c r="I44" s="16">
        <v>485</v>
      </c>
      <c r="J44" s="16">
        <v>485</v>
      </c>
      <c r="K44" s="16"/>
      <c r="L44" s="16">
        <f>J44+K44</f>
        <v>485</v>
      </c>
      <c r="M44" s="16"/>
      <c r="N44" s="16">
        <f>L44+M44</f>
        <v>485</v>
      </c>
      <c r="O44" s="17" t="s">
        <v>551</v>
      </c>
      <c r="Q44" s="19">
        <f>510*0.95</f>
        <v>484.5</v>
      </c>
      <c r="R44" s="19"/>
      <c r="S44" s="12"/>
      <c r="T44" s="12"/>
      <c r="U44" s="12"/>
      <c r="V44" s="12"/>
      <c r="W44" s="12"/>
    </row>
    <row r="45" spans="1:23" s="10" customFormat="1" ht="19.5" customHeight="1">
      <c r="A45" s="386" t="s">
        <v>77</v>
      </c>
      <c r="B45" s="386"/>
      <c r="C45" s="386"/>
      <c r="D45" s="15" t="s">
        <v>549</v>
      </c>
      <c r="E45" s="15" t="s">
        <v>549</v>
      </c>
      <c r="F45" s="15">
        <v>401</v>
      </c>
      <c r="G45" s="132" t="s">
        <v>550</v>
      </c>
      <c r="H45" s="15">
        <f>SUM(H43:H44)</f>
        <v>484.5</v>
      </c>
      <c r="I45" s="15">
        <f>SUM(I43:I44)</f>
        <v>485</v>
      </c>
      <c r="J45" s="15">
        <f>I45</f>
        <v>485</v>
      </c>
      <c r="K45" s="16">
        <f>K44</f>
        <v>0</v>
      </c>
      <c r="L45" s="16">
        <f>L44</f>
        <v>485</v>
      </c>
      <c r="M45" s="16">
        <f>M44</f>
        <v>0</v>
      </c>
      <c r="N45" s="16">
        <f>L45+M45</f>
        <v>485</v>
      </c>
      <c r="O45" s="17" t="s">
        <v>180</v>
      </c>
      <c r="Q45" s="19"/>
      <c r="R45" s="19"/>
      <c r="S45" s="12"/>
      <c r="T45" s="12"/>
      <c r="U45" s="12"/>
      <c r="V45" s="12"/>
      <c r="W45" s="12"/>
    </row>
    <row r="46" spans="1:23" s="10" customFormat="1" ht="19.5" customHeight="1">
      <c r="A46" s="387" t="s">
        <v>552</v>
      </c>
      <c r="B46" s="387"/>
      <c r="C46" s="387"/>
      <c r="D46" s="21">
        <v>1076</v>
      </c>
      <c r="E46" s="21">
        <v>1076</v>
      </c>
      <c r="F46" s="21">
        <v>871</v>
      </c>
      <c r="G46" s="21">
        <v>1114</v>
      </c>
      <c r="H46" s="21">
        <f>H42+H45</f>
        <v>1022.1999999999999</v>
      </c>
      <c r="I46" s="21">
        <f>I42+I45</f>
        <v>1023</v>
      </c>
      <c r="J46" s="22">
        <f>J45+J42</f>
        <v>1049</v>
      </c>
      <c r="K46" s="22">
        <f>K45+K42</f>
        <v>0</v>
      </c>
      <c r="L46" s="22">
        <f>L45+L42</f>
        <v>1049</v>
      </c>
      <c r="M46" s="22">
        <f>M45+M42</f>
        <v>0</v>
      </c>
      <c r="N46" s="22">
        <f>N45+N42</f>
        <v>1049</v>
      </c>
      <c r="O46" s="23"/>
      <c r="Q46" s="24"/>
      <c r="R46" s="24"/>
      <c r="S46" s="12"/>
      <c r="T46" s="12"/>
      <c r="U46" s="12"/>
      <c r="V46" s="12"/>
      <c r="W46" s="12"/>
    </row>
    <row r="47" spans="1:23" s="10" customFormat="1" ht="19.5" customHeight="1">
      <c r="A47" s="388" t="s">
        <v>553</v>
      </c>
      <c r="B47" s="388"/>
      <c r="C47" s="388"/>
      <c r="D47" s="388"/>
      <c r="E47" s="388"/>
      <c r="F47" s="388"/>
      <c r="G47" s="388"/>
      <c r="H47" s="388"/>
      <c r="I47" s="388"/>
      <c r="J47" s="388"/>
      <c r="K47" s="388"/>
      <c r="L47" s="388"/>
      <c r="M47" s="388"/>
      <c r="N47" s="388"/>
      <c r="O47" s="388"/>
      <c r="Q47" s="13"/>
      <c r="R47" s="13"/>
      <c r="S47" s="12"/>
      <c r="T47" s="12"/>
      <c r="U47" s="12"/>
      <c r="V47" s="12"/>
      <c r="W47" s="12"/>
    </row>
    <row r="48" spans="1:23" s="10" customFormat="1" ht="19.5" customHeight="1">
      <c r="A48" s="381" t="s">
        <v>130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Q48" s="13"/>
      <c r="R48" s="13"/>
      <c r="S48" s="12"/>
      <c r="T48" s="12"/>
      <c r="U48" s="12"/>
      <c r="V48" s="12"/>
      <c r="W48" s="12"/>
    </row>
    <row r="49" spans="1:23" s="10" customFormat="1" ht="19.5" customHeight="1">
      <c r="A49" s="14" t="s">
        <v>180</v>
      </c>
      <c r="B49" s="382" t="s">
        <v>166</v>
      </c>
      <c r="C49" s="382"/>
      <c r="D49" s="15">
        <v>28304</v>
      </c>
      <c r="E49" s="15">
        <v>27304</v>
      </c>
      <c r="F49" s="15">
        <v>21704</v>
      </c>
      <c r="G49" s="132">
        <v>28500</v>
      </c>
      <c r="H49" s="15">
        <f>Q49</f>
        <v>26888.8</v>
      </c>
      <c r="I49" s="16">
        <v>27189</v>
      </c>
      <c r="J49" s="16">
        <v>27189</v>
      </c>
      <c r="K49" s="16"/>
      <c r="L49" s="16">
        <f>J49</f>
        <v>27189</v>
      </c>
      <c r="M49" s="16"/>
      <c r="N49" s="16">
        <f>L49+M49</f>
        <v>27189</v>
      </c>
      <c r="O49" s="17" t="s">
        <v>554</v>
      </c>
      <c r="Q49" s="19">
        <f>28304*0.95</f>
        <v>26888.8</v>
      </c>
      <c r="R49" s="19"/>
      <c r="S49" s="12"/>
      <c r="T49" s="12"/>
      <c r="U49" s="12"/>
      <c r="V49" s="12"/>
      <c r="W49" s="12"/>
    </row>
    <row r="50" spans="1:23" s="10" customFormat="1" ht="19.5" customHeight="1">
      <c r="A50" s="386" t="s">
        <v>132</v>
      </c>
      <c r="B50" s="386"/>
      <c r="C50" s="386"/>
      <c r="D50" s="15">
        <v>28304</v>
      </c>
      <c r="E50" s="15">
        <v>27304</v>
      </c>
      <c r="F50" s="15">
        <v>21704</v>
      </c>
      <c r="G50" s="132">
        <v>28500</v>
      </c>
      <c r="H50" s="15">
        <f>SUM(H48:H49)</f>
        <v>26888.8</v>
      </c>
      <c r="I50" s="15">
        <f>SUM(I48:I49)</f>
        <v>27189</v>
      </c>
      <c r="J50" s="15">
        <f>J49</f>
        <v>27189</v>
      </c>
      <c r="K50" s="16">
        <f>K49</f>
        <v>0</v>
      </c>
      <c r="L50" s="16">
        <f>L49</f>
        <v>27189</v>
      </c>
      <c r="M50" s="16">
        <f>M49</f>
        <v>0</v>
      </c>
      <c r="N50" s="16">
        <f>N49</f>
        <v>27189</v>
      </c>
      <c r="O50" s="17" t="s">
        <v>180</v>
      </c>
      <c r="Q50" s="19"/>
      <c r="R50" s="19"/>
      <c r="S50" s="12"/>
      <c r="T50" s="12"/>
      <c r="U50" s="12"/>
      <c r="V50" s="12"/>
      <c r="W50" s="12"/>
    </row>
    <row r="51" spans="1:23" s="10" customFormat="1" ht="19.5" customHeight="1">
      <c r="A51" s="381" t="s">
        <v>555</v>
      </c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Q51" s="13"/>
      <c r="R51" s="13"/>
      <c r="S51" s="12"/>
      <c r="T51" s="12"/>
      <c r="U51" s="12"/>
      <c r="V51" s="12"/>
      <c r="W51" s="12"/>
    </row>
    <row r="52" spans="1:23" s="10" customFormat="1" ht="19.5" customHeight="1">
      <c r="A52" s="14" t="s">
        <v>180</v>
      </c>
      <c r="B52" s="382" t="s">
        <v>166</v>
      </c>
      <c r="C52" s="382"/>
      <c r="D52" s="15">
        <v>71959</v>
      </c>
      <c r="E52" s="15">
        <v>60090</v>
      </c>
      <c r="F52" s="15">
        <v>45044</v>
      </c>
      <c r="G52" s="132">
        <v>71959</v>
      </c>
      <c r="H52" s="15">
        <f>Q52</f>
        <v>68361.05</v>
      </c>
      <c r="I52" s="16">
        <v>68361</v>
      </c>
      <c r="J52" s="16">
        <f>1800+I52</f>
        <v>70161</v>
      </c>
      <c r="K52" s="16"/>
      <c r="L52" s="16">
        <f>J52+K52</f>
        <v>70161</v>
      </c>
      <c r="M52" s="16"/>
      <c r="N52" s="16">
        <f>L52+M52-1700</f>
        <v>68461</v>
      </c>
      <c r="O52" s="17" t="s">
        <v>556</v>
      </c>
      <c r="Q52" s="19">
        <f>71959*0.95</f>
        <v>68361.05</v>
      </c>
      <c r="R52" s="19"/>
      <c r="S52" s="12"/>
      <c r="T52" s="12"/>
      <c r="U52" s="12"/>
      <c r="V52" s="12"/>
      <c r="W52" s="12"/>
    </row>
    <row r="53" spans="1:23" s="10" customFormat="1" ht="19.5" customHeight="1">
      <c r="A53" s="14" t="s">
        <v>180</v>
      </c>
      <c r="B53" s="382" t="s">
        <v>166</v>
      </c>
      <c r="C53" s="382"/>
      <c r="D53" s="15">
        <v>35240</v>
      </c>
      <c r="E53" s="15">
        <v>35240</v>
      </c>
      <c r="F53" s="15">
        <v>27868</v>
      </c>
      <c r="G53" s="132">
        <v>37000</v>
      </c>
      <c r="H53" s="15">
        <f>Q53</f>
        <v>33478</v>
      </c>
      <c r="I53" s="16">
        <v>33478</v>
      </c>
      <c r="J53" s="16">
        <f>I53</f>
        <v>33478</v>
      </c>
      <c r="K53" s="16"/>
      <c r="L53" s="16">
        <f>J53+K53</f>
        <v>33478</v>
      </c>
      <c r="M53" s="16"/>
      <c r="N53" s="16">
        <f>L53+M53</f>
        <v>33478</v>
      </c>
      <c r="O53" s="17" t="s">
        <v>557</v>
      </c>
      <c r="Q53" s="19">
        <f>35240*0.95</f>
        <v>33478</v>
      </c>
      <c r="R53" s="19"/>
      <c r="S53" s="12"/>
      <c r="T53" s="12"/>
      <c r="U53" s="12"/>
      <c r="V53" s="12"/>
      <c r="W53" s="12"/>
    </row>
    <row r="54" spans="1:23" s="10" customFormat="1" ht="19.5" customHeight="1">
      <c r="A54" s="386" t="s">
        <v>558</v>
      </c>
      <c r="B54" s="386"/>
      <c r="C54" s="386"/>
      <c r="D54" s="15">
        <v>107199</v>
      </c>
      <c r="E54" s="15">
        <v>95330</v>
      </c>
      <c r="F54" s="15">
        <v>72912</v>
      </c>
      <c r="G54" s="132">
        <v>108959</v>
      </c>
      <c r="H54" s="15">
        <f>SUM(H52:H53)</f>
        <v>101839.05</v>
      </c>
      <c r="I54" s="15">
        <f>SUM(I52:I53)</f>
        <v>101839</v>
      </c>
      <c r="J54" s="15">
        <f>SUM(J52:J53)</f>
        <v>103639</v>
      </c>
      <c r="K54" s="16">
        <f>K52+K53</f>
        <v>0</v>
      </c>
      <c r="L54" s="16">
        <f>L52+L53</f>
        <v>103639</v>
      </c>
      <c r="M54" s="16">
        <f>M52+M53</f>
        <v>0</v>
      </c>
      <c r="N54" s="16">
        <f>N52+N53</f>
        <v>101939</v>
      </c>
      <c r="O54" s="25"/>
      <c r="Q54" s="19"/>
      <c r="R54" s="19"/>
      <c r="S54" s="12"/>
      <c r="T54" s="12"/>
      <c r="U54" s="12"/>
      <c r="V54" s="12"/>
      <c r="W54" s="12"/>
    </row>
    <row r="55" spans="1:23" s="10" customFormat="1" ht="19.5" customHeight="1">
      <c r="A55" s="381" t="s">
        <v>21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Q55" s="13"/>
      <c r="R55" s="13"/>
      <c r="S55" s="12"/>
      <c r="T55" s="12"/>
      <c r="U55" s="12"/>
      <c r="V55" s="12"/>
      <c r="W55" s="12"/>
    </row>
    <row r="56" spans="1:23" s="10" customFormat="1" ht="19.5" customHeight="1">
      <c r="A56" s="14" t="s">
        <v>180</v>
      </c>
      <c r="B56" s="382" t="s">
        <v>166</v>
      </c>
      <c r="C56" s="382"/>
      <c r="D56" s="15">
        <v>48500</v>
      </c>
      <c r="E56" s="15">
        <v>46000</v>
      </c>
      <c r="F56" s="15">
        <v>33901</v>
      </c>
      <c r="G56" s="132">
        <v>49000</v>
      </c>
      <c r="H56" s="15">
        <f>Q56</f>
        <v>46075</v>
      </c>
      <c r="I56" s="16">
        <v>46075</v>
      </c>
      <c r="J56" s="16">
        <v>46075</v>
      </c>
      <c r="K56" s="16"/>
      <c r="L56" s="16">
        <f>J56+K56</f>
        <v>46075</v>
      </c>
      <c r="M56" s="16"/>
      <c r="N56" s="16">
        <f>L56+M56-800</f>
        <v>45275</v>
      </c>
      <c r="O56" s="17" t="s">
        <v>559</v>
      </c>
      <c r="Q56" s="19">
        <f>48500*0.95</f>
        <v>46075</v>
      </c>
      <c r="R56" s="19"/>
      <c r="S56" s="12"/>
      <c r="T56" s="12"/>
      <c r="U56" s="12"/>
      <c r="V56" s="12"/>
      <c r="W56" s="12"/>
    </row>
    <row r="57" spans="1:23" s="10" customFormat="1" ht="19.5" customHeight="1">
      <c r="A57" s="14" t="s">
        <v>180</v>
      </c>
      <c r="B57" s="382" t="s">
        <v>166</v>
      </c>
      <c r="C57" s="382"/>
      <c r="D57" s="15" t="s">
        <v>537</v>
      </c>
      <c r="E57" s="15" t="s">
        <v>537</v>
      </c>
      <c r="F57" s="15">
        <v>355</v>
      </c>
      <c r="G57" s="132" t="s">
        <v>537</v>
      </c>
      <c r="H57" s="15">
        <f>Q57</f>
        <v>449.34999999999997</v>
      </c>
      <c r="I57" s="16">
        <v>449</v>
      </c>
      <c r="J57" s="16">
        <v>449</v>
      </c>
      <c r="K57" s="16"/>
      <c r="L57" s="16">
        <f>J57+K57</f>
        <v>449</v>
      </c>
      <c r="M57" s="16"/>
      <c r="N57" s="16">
        <f>L57+M57</f>
        <v>449</v>
      </c>
      <c r="O57" s="17" t="s">
        <v>560</v>
      </c>
      <c r="Q57" s="19">
        <f>473*0.95</f>
        <v>449.34999999999997</v>
      </c>
      <c r="R57" s="19"/>
      <c r="S57" s="12"/>
      <c r="T57" s="12"/>
      <c r="U57" s="12"/>
      <c r="V57" s="12"/>
      <c r="W57" s="12"/>
    </row>
    <row r="58" spans="1:23" s="10" customFormat="1" ht="19.5" customHeight="1">
      <c r="A58" s="386" t="s">
        <v>26</v>
      </c>
      <c r="B58" s="386"/>
      <c r="C58" s="386"/>
      <c r="D58" s="15">
        <v>48973</v>
      </c>
      <c r="E58" s="15">
        <v>46473</v>
      </c>
      <c r="F58" s="15">
        <v>34256</v>
      </c>
      <c r="G58" s="132">
        <v>49473</v>
      </c>
      <c r="H58" s="15">
        <f>SUM(H56:H57)</f>
        <v>46524.35</v>
      </c>
      <c r="I58" s="15">
        <f>SUM(I56:I57)</f>
        <v>46524</v>
      </c>
      <c r="J58" s="15">
        <f>I58</f>
        <v>46524</v>
      </c>
      <c r="K58" s="16">
        <f>K56+K57</f>
        <v>0</v>
      </c>
      <c r="L58" s="16">
        <f>L56+L57</f>
        <v>46524</v>
      </c>
      <c r="M58" s="16">
        <f>M56+M57</f>
        <v>0</v>
      </c>
      <c r="N58" s="16">
        <f>N56+N57</f>
        <v>45724</v>
      </c>
      <c r="O58" s="17" t="s">
        <v>180</v>
      </c>
      <c r="Q58" s="19"/>
      <c r="R58" s="19"/>
      <c r="S58" s="12"/>
      <c r="T58" s="12"/>
      <c r="U58" s="12"/>
      <c r="V58" s="12"/>
      <c r="W58" s="12"/>
    </row>
    <row r="59" spans="1:23" s="10" customFormat="1" ht="19.5" customHeight="1">
      <c r="A59" s="381" t="s">
        <v>72</v>
      </c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Q59" s="13"/>
      <c r="R59" s="13"/>
      <c r="S59" s="12"/>
      <c r="T59" s="12"/>
      <c r="U59" s="12"/>
      <c r="V59" s="12"/>
      <c r="W59" s="12"/>
    </row>
    <row r="60" spans="1:23" s="10" customFormat="1" ht="19.5" customHeight="1">
      <c r="A60" s="14" t="s">
        <v>180</v>
      </c>
      <c r="B60" s="382" t="s">
        <v>166</v>
      </c>
      <c r="C60" s="382"/>
      <c r="D60" s="15">
        <v>1140</v>
      </c>
      <c r="E60" s="15">
        <v>1140</v>
      </c>
      <c r="F60" s="15">
        <v>855</v>
      </c>
      <c r="G60" s="132" t="s">
        <v>282</v>
      </c>
      <c r="H60" s="15">
        <f>Q60</f>
        <v>1083</v>
      </c>
      <c r="I60" s="16">
        <v>1083</v>
      </c>
      <c r="J60" s="16">
        <v>1083</v>
      </c>
      <c r="K60" s="16"/>
      <c r="L60" s="16">
        <f>J60+K60</f>
        <v>1083</v>
      </c>
      <c r="M60" s="16"/>
      <c r="N60" s="16">
        <f>L60+M60</f>
        <v>1083</v>
      </c>
      <c r="O60" s="17" t="s">
        <v>561</v>
      </c>
      <c r="Q60" s="19">
        <f>1140*0.95</f>
        <v>1083</v>
      </c>
      <c r="R60" s="19"/>
      <c r="S60" s="12"/>
      <c r="T60" s="12"/>
      <c r="U60" s="12"/>
      <c r="V60" s="12"/>
      <c r="W60" s="12"/>
    </row>
    <row r="61" spans="1:23" s="10" customFormat="1" ht="19.5" customHeight="1">
      <c r="A61" s="386" t="s">
        <v>77</v>
      </c>
      <c r="B61" s="386"/>
      <c r="C61" s="386"/>
      <c r="D61" s="15">
        <v>1140</v>
      </c>
      <c r="E61" s="15">
        <v>1140</v>
      </c>
      <c r="F61" s="15">
        <v>855</v>
      </c>
      <c r="G61" s="132" t="s">
        <v>282</v>
      </c>
      <c r="H61" s="15">
        <f>SUM(H59:H60)</f>
        <v>1083</v>
      </c>
      <c r="I61" s="15">
        <f>SUM(I59:I60)</f>
        <v>1083</v>
      </c>
      <c r="J61" s="15">
        <f>I61</f>
        <v>1083</v>
      </c>
      <c r="K61" s="16">
        <f>K60</f>
        <v>0</v>
      </c>
      <c r="L61" s="16">
        <f>L60</f>
        <v>1083</v>
      </c>
      <c r="M61" s="16">
        <f>M60</f>
        <v>0</v>
      </c>
      <c r="N61" s="16">
        <f>N60</f>
        <v>1083</v>
      </c>
      <c r="O61" s="17" t="s">
        <v>180</v>
      </c>
      <c r="Q61" s="19"/>
      <c r="R61" s="19"/>
      <c r="S61" s="12"/>
      <c r="T61" s="12"/>
      <c r="U61" s="12"/>
      <c r="V61" s="12"/>
      <c r="W61" s="12"/>
    </row>
    <row r="62" spans="1:23" s="10" customFormat="1" ht="30.75" customHeight="1">
      <c r="A62" s="387" t="s">
        <v>562</v>
      </c>
      <c r="B62" s="387"/>
      <c r="C62" s="387"/>
      <c r="D62" s="21">
        <v>185616</v>
      </c>
      <c r="E62" s="21">
        <v>170247</v>
      </c>
      <c r="F62" s="21">
        <v>129728</v>
      </c>
      <c r="G62" s="21">
        <v>187432</v>
      </c>
      <c r="H62" s="21">
        <f>H50+H54+H58+H61</f>
        <v>176335.2</v>
      </c>
      <c r="I62" s="21">
        <f>I50+I54+I58+I61</f>
        <v>176635</v>
      </c>
      <c r="J62" s="21">
        <f>J61+J58+J54+J50</f>
        <v>178435</v>
      </c>
      <c r="K62" s="22">
        <f>K61+K58+K54+K49</f>
        <v>0</v>
      </c>
      <c r="L62" s="22">
        <f>L61+L58+L54+L50</f>
        <v>178435</v>
      </c>
      <c r="M62" s="22">
        <f>M61+M58+M54+M50</f>
        <v>0</v>
      </c>
      <c r="N62" s="22">
        <f>N61+N58+N54+N50</f>
        <v>175935</v>
      </c>
      <c r="O62" s="221"/>
      <c r="Q62" s="24"/>
      <c r="R62" s="24"/>
      <c r="S62" s="12"/>
      <c r="T62" s="12"/>
      <c r="U62" s="12"/>
      <c r="V62" s="12"/>
      <c r="W62" s="12"/>
    </row>
    <row r="63" spans="1:23" s="10" customFormat="1" ht="19.5" customHeight="1">
      <c r="A63" s="388" t="s">
        <v>563</v>
      </c>
      <c r="B63" s="388"/>
      <c r="C63" s="388"/>
      <c r="D63" s="388"/>
      <c r="E63" s="388"/>
      <c r="F63" s="388"/>
      <c r="G63" s="388"/>
      <c r="H63" s="388"/>
      <c r="I63" s="388"/>
      <c r="J63" s="388"/>
      <c r="K63" s="388"/>
      <c r="L63" s="388"/>
      <c r="M63" s="388"/>
      <c r="N63" s="388"/>
      <c r="O63" s="388"/>
      <c r="Q63" s="13"/>
      <c r="R63" s="13"/>
      <c r="S63" s="12"/>
      <c r="T63" s="12"/>
      <c r="U63" s="12"/>
      <c r="V63" s="12"/>
      <c r="W63" s="12"/>
    </row>
    <row r="64" spans="1:23" s="10" customFormat="1" ht="19.5" customHeight="1">
      <c r="A64" s="381" t="s">
        <v>544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Q64" s="13"/>
      <c r="R64" s="13"/>
      <c r="S64" s="12"/>
      <c r="T64" s="12"/>
      <c r="U64" s="12"/>
      <c r="V64" s="12"/>
      <c r="W64" s="12"/>
    </row>
    <row r="65" spans="1:23" s="10" customFormat="1" ht="19.5" customHeight="1">
      <c r="A65" s="14" t="s">
        <v>180</v>
      </c>
      <c r="B65" s="382" t="s">
        <v>166</v>
      </c>
      <c r="C65" s="382"/>
      <c r="D65" s="15" t="s">
        <v>564</v>
      </c>
      <c r="E65" s="15" t="s">
        <v>565</v>
      </c>
      <c r="F65" s="15">
        <v>213</v>
      </c>
      <c r="G65" s="132" t="s">
        <v>564</v>
      </c>
      <c r="H65" s="15">
        <f>Q65</f>
        <v>251.75</v>
      </c>
      <c r="I65" s="16">
        <v>252</v>
      </c>
      <c r="J65" s="16">
        <v>252</v>
      </c>
      <c r="K65" s="16"/>
      <c r="L65" s="16">
        <f>J65+K65</f>
        <v>252</v>
      </c>
      <c r="M65" s="16"/>
      <c r="N65" s="16">
        <f>L65+M65</f>
        <v>252</v>
      </c>
      <c r="O65" s="17" t="s">
        <v>566</v>
      </c>
      <c r="Q65" s="19">
        <f>265*0.95</f>
        <v>251.75</v>
      </c>
      <c r="R65" s="19"/>
      <c r="S65" s="12"/>
      <c r="T65" s="12"/>
      <c r="U65" s="12"/>
      <c r="V65" s="12"/>
      <c r="W65" s="12"/>
    </row>
    <row r="66" spans="1:23" s="10" customFormat="1" ht="19.5" customHeight="1">
      <c r="A66" s="386" t="s">
        <v>283</v>
      </c>
      <c r="B66" s="386"/>
      <c r="C66" s="386"/>
      <c r="D66" s="15" t="s">
        <v>564</v>
      </c>
      <c r="E66" s="15" t="s">
        <v>565</v>
      </c>
      <c r="F66" s="15">
        <v>213</v>
      </c>
      <c r="G66" s="132" t="s">
        <v>564</v>
      </c>
      <c r="H66" s="15">
        <f>SUM(H64:H65)</f>
        <v>251.75</v>
      </c>
      <c r="I66" s="15">
        <f>SUM(I64:I65)</f>
        <v>252</v>
      </c>
      <c r="J66" s="15">
        <f>I66</f>
        <v>252</v>
      </c>
      <c r="K66" s="16">
        <f>K65</f>
        <v>0</v>
      </c>
      <c r="L66" s="16">
        <f>L65</f>
        <v>252</v>
      </c>
      <c r="M66" s="16">
        <f>M65</f>
        <v>0</v>
      </c>
      <c r="N66" s="16">
        <f>N65</f>
        <v>252</v>
      </c>
      <c r="O66" s="17" t="s">
        <v>180</v>
      </c>
      <c r="Q66" s="19"/>
      <c r="R66" s="19"/>
      <c r="S66" s="12"/>
      <c r="T66" s="12"/>
      <c r="U66" s="12"/>
      <c r="V66" s="12"/>
      <c r="W66" s="12"/>
    </row>
    <row r="67" spans="1:23" s="10" customFormat="1" ht="19.5" customHeight="1">
      <c r="A67" s="381" t="s">
        <v>16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Q67" s="13"/>
      <c r="R67" s="13"/>
      <c r="S67" s="12"/>
      <c r="T67" s="12"/>
      <c r="U67" s="12"/>
      <c r="V67" s="12"/>
      <c r="W67" s="12"/>
    </row>
    <row r="68" spans="1:23" s="10" customFormat="1" ht="30" customHeight="1">
      <c r="A68" s="14" t="s">
        <v>180</v>
      </c>
      <c r="B68" s="382" t="s">
        <v>166</v>
      </c>
      <c r="C68" s="382"/>
      <c r="D68" s="15" t="s">
        <v>567</v>
      </c>
      <c r="E68" s="15" t="s">
        <v>568</v>
      </c>
      <c r="F68" s="15">
        <v>236</v>
      </c>
      <c r="G68" s="132" t="s">
        <v>567</v>
      </c>
      <c r="H68" s="15">
        <f>Q68</f>
        <v>326.8</v>
      </c>
      <c r="I68" s="16">
        <v>327</v>
      </c>
      <c r="J68" s="16">
        <v>327</v>
      </c>
      <c r="K68" s="16"/>
      <c r="L68" s="16">
        <f>J68+K68</f>
        <v>327</v>
      </c>
      <c r="M68" s="16"/>
      <c r="N68" s="16">
        <f>L68+M68</f>
        <v>327</v>
      </c>
      <c r="O68" s="17" t="s">
        <v>569</v>
      </c>
      <c r="Q68" s="19">
        <f>344*0.95</f>
        <v>326.8</v>
      </c>
      <c r="R68" s="19"/>
      <c r="S68" s="12"/>
      <c r="T68" s="12"/>
      <c r="U68" s="12"/>
      <c r="V68" s="12"/>
      <c r="W68" s="12"/>
    </row>
    <row r="69" spans="1:23" s="10" customFormat="1" ht="19.5" customHeight="1">
      <c r="A69" s="386" t="s">
        <v>19</v>
      </c>
      <c r="B69" s="386"/>
      <c r="C69" s="386"/>
      <c r="D69" s="15" t="s">
        <v>567</v>
      </c>
      <c r="E69" s="15" t="s">
        <v>568</v>
      </c>
      <c r="F69" s="15">
        <v>236</v>
      </c>
      <c r="G69" s="132" t="s">
        <v>567</v>
      </c>
      <c r="H69" s="15">
        <f>SUM(H67:H68)</f>
        <v>326.8</v>
      </c>
      <c r="I69" s="15">
        <f>SUM(I67:I68)</f>
        <v>327</v>
      </c>
      <c r="J69" s="15">
        <f>I69</f>
        <v>327</v>
      </c>
      <c r="K69" s="16">
        <f>K68</f>
        <v>0</v>
      </c>
      <c r="L69" s="16">
        <f>L68</f>
        <v>327</v>
      </c>
      <c r="M69" s="16">
        <f>M68</f>
        <v>0</v>
      </c>
      <c r="N69" s="16">
        <f>N68</f>
        <v>327</v>
      </c>
      <c r="O69" s="17" t="s">
        <v>180</v>
      </c>
      <c r="Q69" s="19"/>
      <c r="R69" s="19"/>
      <c r="S69" s="12"/>
      <c r="T69" s="12"/>
      <c r="U69" s="12"/>
      <c r="V69" s="12"/>
      <c r="W69" s="12"/>
    </row>
    <row r="70" spans="1:23" s="10" customFormat="1" ht="19.5" customHeight="1">
      <c r="A70" s="381" t="s">
        <v>72</v>
      </c>
      <c r="B70" s="381"/>
      <c r="C70" s="381"/>
      <c r="D70" s="381"/>
      <c r="E70" s="381"/>
      <c r="F70" s="381"/>
      <c r="G70" s="381"/>
      <c r="H70" s="381"/>
      <c r="I70" s="381"/>
      <c r="J70" s="381"/>
      <c r="K70" s="381"/>
      <c r="L70" s="381"/>
      <c r="M70" s="381"/>
      <c r="N70" s="381"/>
      <c r="O70" s="381"/>
      <c r="Q70" s="13"/>
      <c r="R70" s="13"/>
      <c r="S70" s="12"/>
      <c r="T70" s="12"/>
      <c r="U70" s="12"/>
      <c r="V70" s="12"/>
      <c r="W70" s="12"/>
    </row>
    <row r="71" spans="1:23" s="10" customFormat="1" ht="27" customHeight="1">
      <c r="A71" s="14" t="s">
        <v>180</v>
      </c>
      <c r="B71" s="382" t="s">
        <v>166</v>
      </c>
      <c r="C71" s="382"/>
      <c r="D71" s="15" t="s">
        <v>570</v>
      </c>
      <c r="E71" s="15" t="s">
        <v>376</v>
      </c>
      <c r="F71" s="15">
        <v>396</v>
      </c>
      <c r="G71" s="132" t="s">
        <v>570</v>
      </c>
      <c r="H71" s="15">
        <f>Q71</f>
        <v>460.75</v>
      </c>
      <c r="I71" s="16">
        <v>461</v>
      </c>
      <c r="J71" s="16">
        <f aca="true" t="shared" si="5" ref="J71:J76">I71</f>
        <v>461</v>
      </c>
      <c r="K71" s="16"/>
      <c r="L71" s="16">
        <f>J71+K71</f>
        <v>461</v>
      </c>
      <c r="M71" s="16"/>
      <c r="N71" s="16">
        <f>L71+M71</f>
        <v>461</v>
      </c>
      <c r="O71" s="17" t="s">
        <v>571</v>
      </c>
      <c r="Q71" s="19">
        <f>485*0.95</f>
        <v>460.75</v>
      </c>
      <c r="R71" s="19"/>
      <c r="S71" s="12"/>
      <c r="T71" s="12"/>
      <c r="U71" s="12"/>
      <c r="V71" s="12"/>
      <c r="W71" s="12"/>
    </row>
    <row r="72" spans="1:23" s="10" customFormat="1" ht="20.25" customHeight="1">
      <c r="A72" s="14" t="s">
        <v>180</v>
      </c>
      <c r="B72" s="382" t="s">
        <v>166</v>
      </c>
      <c r="C72" s="382"/>
      <c r="D72" s="15" t="s">
        <v>195</v>
      </c>
      <c r="E72" s="15" t="s">
        <v>578</v>
      </c>
      <c r="F72" s="15" t="s">
        <v>179</v>
      </c>
      <c r="G72" s="132" t="s">
        <v>195</v>
      </c>
      <c r="H72" s="15">
        <f>Q72</f>
        <v>15.2</v>
      </c>
      <c r="I72" s="16">
        <v>15</v>
      </c>
      <c r="J72" s="16">
        <f t="shared" si="5"/>
        <v>15</v>
      </c>
      <c r="K72" s="16"/>
      <c r="L72" s="16">
        <f>J72+K72</f>
        <v>15</v>
      </c>
      <c r="M72" s="16"/>
      <c r="N72" s="16">
        <f>L72+M72</f>
        <v>15</v>
      </c>
      <c r="O72" s="17" t="s">
        <v>421</v>
      </c>
      <c r="Q72" s="19">
        <f>16*0.95</f>
        <v>15.2</v>
      </c>
      <c r="R72" s="19"/>
      <c r="S72" s="12"/>
      <c r="T72" s="12"/>
      <c r="U72" s="12"/>
      <c r="V72" s="12"/>
      <c r="W72" s="12"/>
    </row>
    <row r="73" spans="1:23" s="10" customFormat="1" ht="30" customHeight="1">
      <c r="A73" s="14" t="s">
        <v>180</v>
      </c>
      <c r="B73" s="382" t="s">
        <v>166</v>
      </c>
      <c r="C73" s="382"/>
      <c r="D73" s="15" t="s">
        <v>422</v>
      </c>
      <c r="E73" s="15" t="s">
        <v>423</v>
      </c>
      <c r="F73" s="15">
        <v>255</v>
      </c>
      <c r="G73" s="132" t="s">
        <v>422</v>
      </c>
      <c r="H73" s="15">
        <f>Q73</f>
        <v>274.55</v>
      </c>
      <c r="I73" s="16">
        <v>275</v>
      </c>
      <c r="J73" s="16">
        <f t="shared" si="5"/>
        <v>275</v>
      </c>
      <c r="K73" s="16"/>
      <c r="L73" s="16">
        <f>J73+K73</f>
        <v>275</v>
      </c>
      <c r="M73" s="16"/>
      <c r="N73" s="16">
        <f>L73+M73</f>
        <v>275</v>
      </c>
      <c r="O73" s="17" t="s">
        <v>424</v>
      </c>
      <c r="Q73" s="19">
        <f>289*0.95</f>
        <v>274.55</v>
      </c>
      <c r="R73" s="19"/>
      <c r="S73" s="12"/>
      <c r="T73" s="12"/>
      <c r="U73" s="12"/>
      <c r="V73" s="12"/>
      <c r="W73" s="12"/>
    </row>
    <row r="74" spans="1:23" s="10" customFormat="1" ht="29.25" customHeight="1">
      <c r="A74" s="14" t="s">
        <v>180</v>
      </c>
      <c r="B74" s="382" t="s">
        <v>166</v>
      </c>
      <c r="C74" s="382"/>
      <c r="D74" s="15" t="s">
        <v>67</v>
      </c>
      <c r="E74" s="15" t="s">
        <v>220</v>
      </c>
      <c r="F74" s="15">
        <v>106</v>
      </c>
      <c r="G74" s="132" t="s">
        <v>425</v>
      </c>
      <c r="H74" s="15">
        <f>Q74</f>
        <v>108.3</v>
      </c>
      <c r="I74" s="16">
        <v>645</v>
      </c>
      <c r="J74" s="16">
        <f t="shared" si="5"/>
        <v>645</v>
      </c>
      <c r="K74" s="16"/>
      <c r="L74" s="16">
        <f>J74+K74</f>
        <v>645</v>
      </c>
      <c r="M74" s="16"/>
      <c r="N74" s="16">
        <f>L74+M74</f>
        <v>645</v>
      </c>
      <c r="O74" s="17" t="s">
        <v>656</v>
      </c>
      <c r="Q74" s="19">
        <f>114*0.95</f>
        <v>108.3</v>
      </c>
      <c r="R74" s="19"/>
      <c r="S74" s="12"/>
      <c r="T74" s="12"/>
      <c r="U74" s="12"/>
      <c r="V74" s="12"/>
      <c r="W74" s="12"/>
    </row>
    <row r="75" spans="1:23" s="10" customFormat="1" ht="19.5" customHeight="1">
      <c r="A75" s="14" t="s">
        <v>180</v>
      </c>
      <c r="B75" s="382" t="s">
        <v>166</v>
      </c>
      <c r="C75" s="382"/>
      <c r="D75" s="15" t="s">
        <v>546</v>
      </c>
      <c r="E75" s="15" t="s">
        <v>18</v>
      </c>
      <c r="F75" s="15" t="s">
        <v>179</v>
      </c>
      <c r="G75" s="132" t="s">
        <v>546</v>
      </c>
      <c r="H75" s="15">
        <f>Q75</f>
        <v>24.7</v>
      </c>
      <c r="I75" s="16">
        <v>25</v>
      </c>
      <c r="J75" s="16">
        <f t="shared" si="5"/>
        <v>25</v>
      </c>
      <c r="K75" s="16"/>
      <c r="L75" s="16">
        <f>J75+K75</f>
        <v>25</v>
      </c>
      <c r="M75" s="16"/>
      <c r="N75" s="16">
        <f>L75+M75</f>
        <v>25</v>
      </c>
      <c r="O75" s="17" t="s">
        <v>426</v>
      </c>
      <c r="Q75" s="19">
        <f>26*0.95</f>
        <v>24.7</v>
      </c>
      <c r="R75" s="19"/>
      <c r="S75" s="12"/>
      <c r="T75" s="12"/>
      <c r="U75" s="12"/>
      <c r="V75" s="12"/>
      <c r="W75" s="12"/>
    </row>
    <row r="76" spans="1:23" s="10" customFormat="1" ht="19.5" customHeight="1">
      <c r="A76" s="386" t="s">
        <v>77</v>
      </c>
      <c r="B76" s="386"/>
      <c r="C76" s="386"/>
      <c r="D76" s="15" t="s">
        <v>427</v>
      </c>
      <c r="E76" s="15" t="s">
        <v>428</v>
      </c>
      <c r="F76" s="15">
        <v>757</v>
      </c>
      <c r="G76" s="132">
        <v>1467</v>
      </c>
      <c r="H76" s="15">
        <f>SUM(H71:H75)</f>
        <v>883.5</v>
      </c>
      <c r="I76" s="15">
        <f>SUM(I71:I75)</f>
        <v>1421</v>
      </c>
      <c r="J76" s="15">
        <f t="shared" si="5"/>
        <v>1421</v>
      </c>
      <c r="K76" s="16">
        <f>SUM(K71:K75)</f>
        <v>0</v>
      </c>
      <c r="L76" s="16">
        <f>SUM(L71:L75)</f>
        <v>1421</v>
      </c>
      <c r="M76" s="16">
        <f>SUM(M71:M75)</f>
        <v>0</v>
      </c>
      <c r="N76" s="16">
        <f>SUM(N71:N75)</f>
        <v>1421</v>
      </c>
      <c r="O76" s="17" t="s">
        <v>180</v>
      </c>
      <c r="Q76" s="19"/>
      <c r="R76" s="19"/>
      <c r="S76" s="12"/>
      <c r="T76" s="12"/>
      <c r="U76" s="12"/>
      <c r="V76" s="12"/>
      <c r="W76" s="12"/>
    </row>
    <row r="77" spans="1:23" s="10" customFormat="1" ht="19.5" customHeight="1">
      <c r="A77" s="381" t="s">
        <v>429</v>
      </c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Q77" s="13"/>
      <c r="R77" s="13"/>
      <c r="S77" s="12"/>
      <c r="T77" s="12"/>
      <c r="U77" s="12"/>
      <c r="V77" s="12"/>
      <c r="W77" s="12"/>
    </row>
    <row r="78" spans="1:23" s="10" customFormat="1" ht="19.5" customHeight="1">
      <c r="A78" s="14" t="s">
        <v>180</v>
      </c>
      <c r="B78" s="382" t="s">
        <v>166</v>
      </c>
      <c r="C78" s="382"/>
      <c r="D78" s="15">
        <v>16153</v>
      </c>
      <c r="E78" s="15">
        <v>16153</v>
      </c>
      <c r="F78" s="15">
        <v>12366</v>
      </c>
      <c r="G78" s="132">
        <v>16153</v>
      </c>
      <c r="H78" s="15">
        <f>Q78</f>
        <v>15345.349999999999</v>
      </c>
      <c r="I78" s="20">
        <v>16153</v>
      </c>
      <c r="J78" s="16">
        <f>I78-400</f>
        <v>15753</v>
      </c>
      <c r="K78" s="16"/>
      <c r="L78" s="16">
        <f>J78+K78</f>
        <v>15753</v>
      </c>
      <c r="M78" s="16"/>
      <c r="N78" s="16">
        <f>L78+M78</f>
        <v>15753</v>
      </c>
      <c r="O78" s="17" t="s">
        <v>430</v>
      </c>
      <c r="Q78" s="19">
        <f>16153*0.95</f>
        <v>15345.349999999999</v>
      </c>
      <c r="R78" s="19"/>
      <c r="S78" s="12"/>
      <c r="T78" s="12"/>
      <c r="U78" s="12"/>
      <c r="V78" s="12"/>
      <c r="W78" s="12"/>
    </row>
    <row r="79" spans="1:23" s="10" customFormat="1" ht="19.5" customHeight="1">
      <c r="A79" s="386" t="s">
        <v>431</v>
      </c>
      <c r="B79" s="386"/>
      <c r="C79" s="386"/>
      <c r="D79" s="15">
        <v>16153</v>
      </c>
      <c r="E79" s="15">
        <v>16153</v>
      </c>
      <c r="F79" s="15">
        <v>12366</v>
      </c>
      <c r="G79" s="132">
        <v>16153</v>
      </c>
      <c r="H79" s="15">
        <f>SUM(H77:H78)</f>
        <v>15345.349999999999</v>
      </c>
      <c r="I79" s="15">
        <f>SUM(I77:I78)</f>
        <v>16153</v>
      </c>
      <c r="J79" s="15">
        <f>SUM(J77:J78)</f>
        <v>15753</v>
      </c>
      <c r="K79" s="16">
        <f>K78</f>
        <v>0</v>
      </c>
      <c r="L79" s="16">
        <f>L78</f>
        <v>15753</v>
      </c>
      <c r="M79" s="16">
        <f>M78</f>
        <v>0</v>
      </c>
      <c r="N79" s="16">
        <f>N78</f>
        <v>15753</v>
      </c>
      <c r="O79" s="17" t="s">
        <v>180</v>
      </c>
      <c r="Q79" s="19"/>
      <c r="R79" s="19"/>
      <c r="S79" s="12"/>
      <c r="T79" s="12"/>
      <c r="U79" s="12"/>
      <c r="V79" s="12"/>
      <c r="W79" s="12"/>
    </row>
    <row r="80" spans="1:23" s="10" customFormat="1" ht="19.5" customHeight="1">
      <c r="A80" s="387" t="s">
        <v>432</v>
      </c>
      <c r="B80" s="387"/>
      <c r="C80" s="387"/>
      <c r="D80" s="21">
        <v>17692</v>
      </c>
      <c r="E80" s="21">
        <v>17615</v>
      </c>
      <c r="F80" s="21">
        <v>13572</v>
      </c>
      <c r="G80" s="21">
        <v>18229</v>
      </c>
      <c r="H80" s="21">
        <f>H66+H69+H76+H79</f>
        <v>16807.399999999998</v>
      </c>
      <c r="I80" s="21">
        <f>I66+I69+I76+I79</f>
        <v>18153</v>
      </c>
      <c r="J80" s="21">
        <f>J66+J69+J76+J79</f>
        <v>17753</v>
      </c>
      <c r="K80" s="22">
        <f>K79+K76+K69+K66</f>
        <v>0</v>
      </c>
      <c r="L80" s="22">
        <f>L79+L76+L69+L66</f>
        <v>17753</v>
      </c>
      <c r="M80" s="22">
        <f>M79+M76+M69+M66</f>
        <v>0</v>
      </c>
      <c r="N80" s="22">
        <f>N79+N76+N69+N66</f>
        <v>17753</v>
      </c>
      <c r="O80" s="23"/>
      <c r="Q80" s="24"/>
      <c r="R80" s="24"/>
      <c r="S80" s="12"/>
      <c r="T80" s="12"/>
      <c r="U80" s="12"/>
      <c r="V80" s="12"/>
      <c r="W80" s="12"/>
    </row>
    <row r="81" spans="1:23" s="10" customFormat="1" ht="19.5" customHeight="1">
      <c r="A81" s="388" t="s">
        <v>433</v>
      </c>
      <c r="B81" s="388"/>
      <c r="C81" s="388"/>
      <c r="D81" s="388"/>
      <c r="E81" s="388"/>
      <c r="F81" s="388"/>
      <c r="G81" s="388"/>
      <c r="H81" s="388"/>
      <c r="I81" s="388"/>
      <c r="J81" s="388"/>
      <c r="K81" s="388"/>
      <c r="L81" s="388"/>
      <c r="M81" s="388"/>
      <c r="N81" s="388"/>
      <c r="O81" s="388"/>
      <c r="Q81" s="13"/>
      <c r="R81" s="13"/>
      <c r="S81" s="12"/>
      <c r="T81" s="12"/>
      <c r="U81" s="12"/>
      <c r="V81" s="12"/>
      <c r="W81" s="12"/>
    </row>
    <row r="82" spans="1:23" s="10" customFormat="1" ht="19.5" customHeight="1">
      <c r="A82" s="381" t="s">
        <v>72</v>
      </c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Q82" s="13"/>
      <c r="R82" s="13"/>
      <c r="S82" s="12"/>
      <c r="T82" s="12"/>
      <c r="U82" s="12"/>
      <c r="V82" s="12"/>
      <c r="W82" s="12"/>
    </row>
    <row r="83" spans="1:23" s="10" customFormat="1" ht="53.25" customHeight="1">
      <c r="A83" s="14" t="s">
        <v>180</v>
      </c>
      <c r="B83" s="382" t="s">
        <v>166</v>
      </c>
      <c r="C83" s="382"/>
      <c r="D83" s="15" t="s">
        <v>564</v>
      </c>
      <c r="E83" s="15" t="s">
        <v>565</v>
      </c>
      <c r="F83" s="15">
        <v>101</v>
      </c>
      <c r="G83" s="132" t="s">
        <v>377</v>
      </c>
      <c r="H83" s="15">
        <f>Q83</f>
        <v>251.75</v>
      </c>
      <c r="I83" s="16">
        <v>252</v>
      </c>
      <c r="J83" s="16">
        <v>252</v>
      </c>
      <c r="K83" s="16"/>
      <c r="L83" s="16">
        <f>J83+K83</f>
        <v>252</v>
      </c>
      <c r="M83" s="16"/>
      <c r="N83" s="16">
        <f>L83+M83</f>
        <v>252</v>
      </c>
      <c r="O83" s="17" t="s">
        <v>435</v>
      </c>
      <c r="Q83" s="19">
        <f>265*0.95</f>
        <v>251.75</v>
      </c>
      <c r="R83" s="19"/>
      <c r="S83" s="12"/>
      <c r="T83" s="12"/>
      <c r="U83" s="12"/>
      <c r="V83" s="12"/>
      <c r="W83" s="12"/>
    </row>
    <row r="84" spans="1:23" s="10" customFormat="1" ht="19.5" customHeight="1">
      <c r="A84" s="386" t="s">
        <v>77</v>
      </c>
      <c r="B84" s="386"/>
      <c r="C84" s="386"/>
      <c r="D84" s="15" t="s">
        <v>564</v>
      </c>
      <c r="E84" s="15" t="s">
        <v>565</v>
      </c>
      <c r="F84" s="15">
        <v>101</v>
      </c>
      <c r="G84" s="132" t="s">
        <v>377</v>
      </c>
      <c r="H84" s="15">
        <f>SUM(H82:H83)</f>
        <v>251.75</v>
      </c>
      <c r="I84" s="15">
        <f>SUM(I82:I83)</f>
        <v>252</v>
      </c>
      <c r="J84" s="15">
        <f>I84</f>
        <v>252</v>
      </c>
      <c r="K84" s="16">
        <f aca="true" t="shared" si="6" ref="K84:N85">K83</f>
        <v>0</v>
      </c>
      <c r="L84" s="16">
        <f t="shared" si="6"/>
        <v>252</v>
      </c>
      <c r="M84" s="16">
        <f t="shared" si="6"/>
        <v>0</v>
      </c>
      <c r="N84" s="16">
        <f t="shared" si="6"/>
        <v>252</v>
      </c>
      <c r="O84" s="17" t="s">
        <v>180</v>
      </c>
      <c r="Q84" s="19"/>
      <c r="R84" s="19"/>
      <c r="S84" s="12"/>
      <c r="T84" s="12"/>
      <c r="U84" s="12"/>
      <c r="V84" s="12"/>
      <c r="W84" s="12"/>
    </row>
    <row r="85" spans="1:23" s="10" customFormat="1" ht="19.5" customHeight="1">
      <c r="A85" s="387" t="s">
        <v>436</v>
      </c>
      <c r="B85" s="387"/>
      <c r="C85" s="387"/>
      <c r="D85" s="21" t="s">
        <v>564</v>
      </c>
      <c r="E85" s="21" t="s">
        <v>565</v>
      </c>
      <c r="F85" s="21">
        <v>101</v>
      </c>
      <c r="G85" s="21" t="s">
        <v>377</v>
      </c>
      <c r="H85" s="21">
        <f>H84</f>
        <v>251.75</v>
      </c>
      <c r="I85" s="21">
        <f>I84</f>
        <v>252</v>
      </c>
      <c r="J85" s="21">
        <f>J84</f>
        <v>252</v>
      </c>
      <c r="K85" s="22">
        <f t="shared" si="6"/>
        <v>0</v>
      </c>
      <c r="L85" s="22">
        <f t="shared" si="6"/>
        <v>252</v>
      </c>
      <c r="M85" s="22">
        <f t="shared" si="6"/>
        <v>0</v>
      </c>
      <c r="N85" s="22">
        <f t="shared" si="6"/>
        <v>252</v>
      </c>
      <c r="O85" s="23" t="s">
        <v>180</v>
      </c>
      <c r="Q85" s="26"/>
      <c r="R85" s="26"/>
      <c r="S85" s="12"/>
      <c r="T85" s="12"/>
      <c r="U85" s="12"/>
      <c r="V85" s="12"/>
      <c r="W85" s="12"/>
    </row>
    <row r="86" spans="1:23" ht="30" customHeight="1">
      <c r="A86" s="385" t="s">
        <v>437</v>
      </c>
      <c r="B86" s="385"/>
      <c r="C86" s="385"/>
      <c r="D86" s="27">
        <v>526011</v>
      </c>
      <c r="E86" s="27">
        <v>499496</v>
      </c>
      <c r="F86" s="27">
        <v>405698</v>
      </c>
      <c r="G86" s="27">
        <v>594321</v>
      </c>
      <c r="H86" s="28">
        <f>H24+H29+H37+H46+H62+H80+H85</f>
        <v>500877.05000000005</v>
      </c>
      <c r="I86" s="28">
        <f>I24+I29+I37+I46+I62+I80+I85</f>
        <v>499293</v>
      </c>
      <c r="J86" s="28">
        <f>J24+J29+J37+J46+J62+J80+J85</f>
        <v>500719</v>
      </c>
      <c r="K86" s="29">
        <f>K85+K80+K62+K46+K37+K29+K24</f>
        <v>0</v>
      </c>
      <c r="L86" s="29">
        <f>L85+L80+L62+L46+L37+L29+L24</f>
        <v>500719</v>
      </c>
      <c r="M86" s="29">
        <f>M85+M80+M62+M46+M37+M29+M24</f>
        <v>0</v>
      </c>
      <c r="N86" s="29">
        <f>N85+N80+N62+N46+N37+N29+N24</f>
        <v>490719</v>
      </c>
      <c r="O86" s="30" t="s">
        <v>180</v>
      </c>
      <c r="Q86" s="31">
        <f>SUM(Q5:Q84)</f>
        <v>500877.04999999993</v>
      </c>
      <c r="R86" s="31">
        <f>SUM(R5:R84)</f>
        <v>0</v>
      </c>
      <c r="S86" s="9"/>
      <c r="T86" s="9"/>
      <c r="U86" s="9"/>
      <c r="V86" s="9"/>
      <c r="W86" s="9"/>
    </row>
    <row r="87" spans="19:23" ht="12.75">
      <c r="S87" s="9"/>
      <c r="T87" s="9"/>
      <c r="U87" s="9"/>
      <c r="V87" s="9"/>
      <c r="W87" s="9"/>
    </row>
    <row r="88" spans="19:23" ht="12.75">
      <c r="S88" s="9"/>
      <c r="T88" s="9"/>
      <c r="U88" s="9"/>
      <c r="V88" s="9"/>
      <c r="W88" s="9"/>
    </row>
    <row r="89" spans="1:23" ht="15.75">
      <c r="A89" s="32" t="s">
        <v>438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1:23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</row>
    <row r="91" spans="1:23" ht="19.5" customHeight="1">
      <c r="A91" s="392" t="s">
        <v>439</v>
      </c>
      <c r="B91" s="393"/>
      <c r="C91" s="393"/>
      <c r="D91" s="34">
        <v>274053</v>
      </c>
      <c r="E91" s="34">
        <f>E98-E97-E96-E92</f>
        <v>256546</v>
      </c>
      <c r="F91" s="34">
        <f>F98-F97-F96-F92</f>
        <v>205099</v>
      </c>
      <c r="G91" s="34">
        <v>283180</v>
      </c>
      <c r="H91" s="34">
        <f>SUM(H5:H12)+SUM(H15:H16)+SUM(H27)+SUM(H32)+SUM(H35)+SUM(H40:H41)+SUM(H44)+SUM(H52:H53)+SUM(H56:H57)+SUM(H60)+SUM(H65)+SUM(H68)+SUM(H71:H75)+SUM(H83)</f>
        <v>261516.94999999998</v>
      </c>
      <c r="I91" s="34">
        <f>SUM(I5:I12)+SUM(I15:I16)+SUM(I27)+SUM(I32)+SUM(I35)+SUM(I40:I41)+SUM(I44)+SUM(I52:I53)+SUM(I56:I57)+SUM(I60)+SUM(I65)+SUM(I68)+SUM(I71:I75)+SUM(I83)</f>
        <v>262150</v>
      </c>
      <c r="J91" s="34">
        <f>SUM(J5:J12)+SUM(J15:J16)+SUM(J27)+SUM(J32)+SUM(J35)+SUM(J40:J41)+SUM(J44)+SUM(J52:J53)+SUM(J56:J57)+SUM(J60)+SUM(J65)+SUM(J68)+SUM(J71:J75)+SUM(J83)</f>
        <v>263976</v>
      </c>
      <c r="K91" s="34">
        <f>SUM(K5:K12)+SUM(K15:K16)+SUM(K27)+SUM(K32)+SUM(K35)+SUM(K40:K41)+SUM(K44)+SUM(K52:K53)+SUM(K56:K57)+SUM(K60)+SUM(K65)+SUM(K68)+SUM(K71:K75)+SUM(K83)</f>
        <v>0</v>
      </c>
      <c r="L91" s="34">
        <f>SUM(L5:L12)+SUM(L15:L16)+SUM(L27)+SUM(L32)+SUM(L35)+SUM(L40:L41)+SUM(L44)+SUM(L52:L53)+SUM(L56:L57)+SUM(L60)+SUM(L65)+SUM(L68)+SUM(L71:L75)+SUM(L83)</f>
        <v>263976</v>
      </c>
      <c r="M91" s="34">
        <v>-5000</v>
      </c>
      <c r="N91" s="34">
        <f>L91+M91</f>
        <v>258976</v>
      </c>
      <c r="O91" s="164"/>
      <c r="P91" s="35"/>
      <c r="Q91" s="34">
        <f>SUM(Q5:Q12)+SUM(Q15:Q16)+SUM(Q27:Q28)+SUM(Q32:Q33)+SUM(Q35:Q36)+SUM(Q40:Q42)+SUM(Q44:Q45)+SUM(Q52:Q54)+SUM(Q56:Q58)+SUM(Q60:Q61)+SUM(Q65:Q66)+SUM(Q68:Q69)+SUM(Q71:Q76)+SUM(Q83:Q84)</f>
        <v>261516.94999999998</v>
      </c>
      <c r="R91" s="34">
        <f>SUM(R5:R12)+SUM(R15:R16)+SUM(R27:R28)+SUM(R32:R33)+SUM(R35:R36)+SUM(R40:R42)+SUM(R44:R45)+SUM(R52:R54)+SUM(R56:R58)+SUM(R60:R61)+SUM(R65:R66)+SUM(R68:R69)+SUM(R71:R76)+SUM(R83:R84)</f>
        <v>0</v>
      </c>
      <c r="S91" s="36"/>
      <c r="T91" s="383"/>
      <c r="U91" s="383"/>
      <c r="V91" s="383"/>
      <c r="W91" s="383"/>
    </row>
    <row r="92" spans="1:23" ht="19.5" customHeight="1">
      <c r="A92" s="37" t="s">
        <v>440</v>
      </c>
      <c r="B92" s="38"/>
      <c r="C92" s="38"/>
      <c r="D92" s="39">
        <f>192501+11000+4000</f>
        <v>207501</v>
      </c>
      <c r="E92" s="39">
        <f>SUM(E93:E95)</f>
        <v>199493</v>
      </c>
      <c r="F92" s="39">
        <f>F93+F94+F95</f>
        <v>166529</v>
      </c>
      <c r="G92" s="39">
        <f aca="true" t="shared" si="7" ref="G92:L92">SUM(G93:G95)</f>
        <v>266488</v>
      </c>
      <c r="H92" s="39">
        <f t="shared" si="7"/>
        <v>197125.94999999998</v>
      </c>
      <c r="I92" s="39">
        <f t="shared" si="7"/>
        <v>193801</v>
      </c>
      <c r="J92" s="39">
        <f t="shared" si="7"/>
        <v>193801</v>
      </c>
      <c r="K92" s="39">
        <f t="shared" si="7"/>
        <v>0</v>
      </c>
      <c r="L92" s="39">
        <f t="shared" si="7"/>
        <v>193801</v>
      </c>
      <c r="M92" s="39">
        <f>SUM(M93:M95)</f>
        <v>-5000</v>
      </c>
      <c r="N92" s="39">
        <f>SUM(N93:N95)</f>
        <v>188801</v>
      </c>
      <c r="O92" s="40"/>
      <c r="P92" s="41"/>
      <c r="Q92" s="39">
        <f>SUM(Q93:Q95)</f>
        <v>197125.94999999998</v>
      </c>
      <c r="R92" s="39">
        <f>SUM(R93:R95)</f>
        <v>0</v>
      </c>
      <c r="S92" s="41"/>
      <c r="T92" s="41"/>
      <c r="U92" s="41"/>
      <c r="V92" s="41"/>
      <c r="W92" s="41"/>
    </row>
    <row r="93" spans="1:23" ht="19.5" customHeight="1">
      <c r="A93" s="42" t="s">
        <v>441</v>
      </c>
      <c r="B93" s="43"/>
      <c r="C93" s="43"/>
      <c r="D93" s="44">
        <v>192501</v>
      </c>
      <c r="E93" s="44">
        <v>188401</v>
      </c>
      <c r="F93" s="44">
        <f>F19</f>
        <v>157958</v>
      </c>
      <c r="G93" s="44">
        <v>249988</v>
      </c>
      <c r="H93" s="44">
        <f aca="true" t="shared" si="8" ref="H93:N94">H19</f>
        <v>182875.94999999998</v>
      </c>
      <c r="I93" s="44">
        <f t="shared" si="8"/>
        <v>182876</v>
      </c>
      <c r="J93" s="44">
        <f t="shared" si="8"/>
        <v>182876</v>
      </c>
      <c r="K93" s="44">
        <f t="shared" si="8"/>
        <v>0</v>
      </c>
      <c r="L93" s="44">
        <f t="shared" si="8"/>
        <v>182876</v>
      </c>
      <c r="M93" s="44">
        <v>-5000</v>
      </c>
      <c r="N93" s="44">
        <f>L93+M93</f>
        <v>177876</v>
      </c>
      <c r="O93" s="45"/>
      <c r="P93" s="41"/>
      <c r="Q93" s="44">
        <f>Q19</f>
        <v>182875.94999999998</v>
      </c>
      <c r="R93" s="44">
        <f>R19</f>
        <v>0</v>
      </c>
      <c r="S93" s="41"/>
      <c r="T93" s="41"/>
      <c r="U93" s="41"/>
      <c r="V93" s="41"/>
      <c r="W93" s="41"/>
    </row>
    <row r="94" spans="1:23" ht="19.5" customHeight="1">
      <c r="A94" s="42" t="s">
        <v>442</v>
      </c>
      <c r="B94" s="43"/>
      <c r="C94" s="43"/>
      <c r="D94" s="44">
        <v>11000</v>
      </c>
      <c r="E94" s="44">
        <v>9767</v>
      </c>
      <c r="F94" s="44">
        <f>F20</f>
        <v>8139</v>
      </c>
      <c r="G94" s="44">
        <v>11000</v>
      </c>
      <c r="H94" s="44">
        <f t="shared" si="8"/>
        <v>10450</v>
      </c>
      <c r="I94" s="44">
        <f t="shared" si="8"/>
        <v>10450</v>
      </c>
      <c r="J94" s="44">
        <f t="shared" si="8"/>
        <v>10450</v>
      </c>
      <c r="K94" s="44">
        <f t="shared" si="8"/>
        <v>0</v>
      </c>
      <c r="L94" s="44">
        <f t="shared" si="8"/>
        <v>10450</v>
      </c>
      <c r="M94" s="44">
        <f t="shared" si="8"/>
        <v>0</v>
      </c>
      <c r="N94" s="44">
        <f t="shared" si="8"/>
        <v>9810</v>
      </c>
      <c r="O94" s="45"/>
      <c r="P94" s="46"/>
      <c r="Q94" s="44">
        <f>Q20</f>
        <v>10450</v>
      </c>
      <c r="R94" s="44">
        <f>R20</f>
        <v>0</v>
      </c>
      <c r="S94" s="41"/>
      <c r="T94" s="41"/>
      <c r="U94" s="41"/>
      <c r="V94" s="41"/>
      <c r="W94" s="41"/>
    </row>
    <row r="95" spans="1:23" ht="19.5" customHeight="1">
      <c r="A95" s="42" t="s">
        <v>443</v>
      </c>
      <c r="B95" s="43"/>
      <c r="C95" s="43"/>
      <c r="D95" s="44">
        <f>500+3500</f>
        <v>4000</v>
      </c>
      <c r="E95" s="44">
        <v>1325</v>
      </c>
      <c r="F95" s="44">
        <f>F21+F22</f>
        <v>432</v>
      </c>
      <c r="G95" s="44">
        <v>5500</v>
      </c>
      <c r="H95" s="44">
        <f aca="true" t="shared" si="9" ref="H95:N95">SUM(H21:H22)</f>
        <v>3800</v>
      </c>
      <c r="I95" s="44">
        <f t="shared" si="9"/>
        <v>475</v>
      </c>
      <c r="J95" s="44">
        <f t="shared" si="9"/>
        <v>475</v>
      </c>
      <c r="K95" s="44">
        <f t="shared" si="9"/>
        <v>0</v>
      </c>
      <c r="L95" s="44">
        <f t="shared" si="9"/>
        <v>475</v>
      </c>
      <c r="M95" s="44">
        <f t="shared" si="9"/>
        <v>0</v>
      </c>
      <c r="N95" s="44">
        <f t="shared" si="9"/>
        <v>1115</v>
      </c>
      <c r="O95" s="45"/>
      <c r="P95" s="46"/>
      <c r="Q95" s="44">
        <f>SUM(Q21:Q22)</f>
        <v>3800</v>
      </c>
      <c r="R95" s="44">
        <f>SUM(R21:R22)</f>
        <v>0</v>
      </c>
      <c r="S95" s="41"/>
      <c r="T95" s="41"/>
      <c r="U95" s="41"/>
      <c r="V95" s="41"/>
      <c r="W95" s="41"/>
    </row>
    <row r="96" spans="1:23" ht="19.5" customHeight="1">
      <c r="A96" s="47" t="s">
        <v>444</v>
      </c>
      <c r="B96" s="48"/>
      <c r="C96" s="48"/>
      <c r="D96" s="49">
        <f>D49</f>
        <v>28304</v>
      </c>
      <c r="E96" s="49">
        <v>27304</v>
      </c>
      <c r="F96" s="49">
        <f>F49</f>
        <v>21704</v>
      </c>
      <c r="G96" s="49">
        <v>28500</v>
      </c>
      <c r="H96" s="49">
        <f>H49</f>
        <v>26888.8</v>
      </c>
      <c r="I96" s="49">
        <f aca="true" t="shared" si="10" ref="I96:N96">I50</f>
        <v>27189</v>
      </c>
      <c r="J96" s="49">
        <f t="shared" si="10"/>
        <v>27189</v>
      </c>
      <c r="K96" s="49">
        <f t="shared" si="10"/>
        <v>0</v>
      </c>
      <c r="L96" s="49">
        <f t="shared" si="10"/>
        <v>27189</v>
      </c>
      <c r="M96" s="49">
        <v>0</v>
      </c>
      <c r="N96" s="49">
        <f t="shared" si="10"/>
        <v>27189</v>
      </c>
      <c r="O96" s="50"/>
      <c r="P96" s="46"/>
      <c r="Q96" s="49">
        <f>Q49</f>
        <v>26888.8</v>
      </c>
      <c r="R96" s="49">
        <f>R49</f>
        <v>0</v>
      </c>
      <c r="S96" s="41"/>
      <c r="T96" s="41"/>
      <c r="U96" s="41"/>
      <c r="V96" s="41"/>
      <c r="W96" s="41"/>
    </row>
    <row r="97" spans="1:23" ht="19.5" customHeight="1">
      <c r="A97" s="51" t="s">
        <v>445</v>
      </c>
      <c r="B97" s="52"/>
      <c r="C97" s="52"/>
      <c r="D97" s="53">
        <f>D78</f>
        <v>16153</v>
      </c>
      <c r="E97" s="53">
        <v>16153</v>
      </c>
      <c r="F97" s="53">
        <f>F78</f>
        <v>12366</v>
      </c>
      <c r="G97" s="53">
        <v>16153</v>
      </c>
      <c r="H97" s="53">
        <f aca="true" t="shared" si="11" ref="H97:N97">H78</f>
        <v>15345.349999999999</v>
      </c>
      <c r="I97" s="53">
        <f t="shared" si="11"/>
        <v>16153</v>
      </c>
      <c r="J97" s="53">
        <f t="shared" si="11"/>
        <v>15753</v>
      </c>
      <c r="K97" s="53">
        <f t="shared" si="11"/>
        <v>0</v>
      </c>
      <c r="L97" s="53">
        <f t="shared" si="11"/>
        <v>15753</v>
      </c>
      <c r="M97" s="53">
        <f t="shared" si="11"/>
        <v>0</v>
      </c>
      <c r="N97" s="53">
        <f t="shared" si="11"/>
        <v>15753</v>
      </c>
      <c r="O97" s="54"/>
      <c r="P97" s="46"/>
      <c r="Q97" s="53">
        <f>Q78</f>
        <v>15345.349999999999</v>
      </c>
      <c r="R97" s="53">
        <f>R78</f>
        <v>0</v>
      </c>
      <c r="S97" s="41"/>
      <c r="T97" s="41"/>
      <c r="U97" s="41"/>
      <c r="V97" s="41"/>
      <c r="W97" s="41"/>
    </row>
    <row r="98" spans="1:23" ht="24.75" customHeight="1">
      <c r="A98" s="390" t="s">
        <v>446</v>
      </c>
      <c r="B98" s="391"/>
      <c r="C98" s="391"/>
      <c r="D98" s="55">
        <f>274053+207501+28304+16153</f>
        <v>526011</v>
      </c>
      <c r="E98" s="55">
        <v>499496</v>
      </c>
      <c r="F98" s="55">
        <v>405698</v>
      </c>
      <c r="G98" s="55">
        <f aca="true" t="shared" si="12" ref="G98:L98">G91+G92+G96+G97</f>
        <v>594321</v>
      </c>
      <c r="H98" s="55">
        <f t="shared" si="12"/>
        <v>500877.04999999993</v>
      </c>
      <c r="I98" s="55">
        <f t="shared" si="12"/>
        <v>499293</v>
      </c>
      <c r="J98" s="55">
        <f t="shared" si="12"/>
        <v>500719</v>
      </c>
      <c r="K98" s="55">
        <f t="shared" si="12"/>
        <v>0</v>
      </c>
      <c r="L98" s="55">
        <f t="shared" si="12"/>
        <v>500719</v>
      </c>
      <c r="M98" s="55">
        <f>M91+M92+M96+M97</f>
        <v>-10000</v>
      </c>
      <c r="N98" s="55">
        <f>N91+N92+N96+N97</f>
        <v>490719</v>
      </c>
      <c r="O98" s="56"/>
      <c r="P98" s="57"/>
      <c r="Q98" s="55">
        <f>Q91+Q92+Q96+Q97</f>
        <v>500877.04999999993</v>
      </c>
      <c r="R98" s="55">
        <f>R91+R92+R96+R97</f>
        <v>0</v>
      </c>
      <c r="S98" s="58"/>
      <c r="T98" s="384"/>
      <c r="U98" s="384"/>
      <c r="V98" s="384"/>
      <c r="W98" s="384"/>
    </row>
    <row r="99" spans="8:23" ht="12.75">
      <c r="H99" s="9">
        <f>H98-G98</f>
        <v>-93443.95000000007</v>
      </c>
      <c r="I99" s="9">
        <f>I98-H98</f>
        <v>-1584.0499999999302</v>
      </c>
      <c r="R99" s="9"/>
      <c r="S99" s="9"/>
      <c r="T99" s="9"/>
      <c r="U99" s="9"/>
      <c r="V99" s="9"/>
      <c r="W99" s="9"/>
    </row>
    <row r="100" ht="12.75">
      <c r="H100" s="134" t="s">
        <v>447</v>
      </c>
    </row>
    <row r="101" spans="8:14" ht="63.75">
      <c r="H101" s="59" t="s">
        <v>448</v>
      </c>
      <c r="I101" s="59" t="s">
        <v>449</v>
      </c>
      <c r="J101" s="59"/>
      <c r="K101" s="59"/>
      <c r="L101" s="59"/>
      <c r="M101" s="59"/>
      <c r="N101" s="59"/>
    </row>
    <row r="104" spans="15:16" ht="12.75">
      <c r="O104" s="9"/>
      <c r="P104" s="9"/>
    </row>
  </sheetData>
  <sheetProtection/>
  <mergeCells count="90">
    <mergeCell ref="B1:C1"/>
    <mergeCell ref="A98:C98"/>
    <mergeCell ref="A91:C91"/>
    <mergeCell ref="A2:B2"/>
    <mergeCell ref="A3:O3"/>
    <mergeCell ref="A4:O4"/>
    <mergeCell ref="B5:C5"/>
    <mergeCell ref="B8:C8"/>
    <mergeCell ref="B9:C9"/>
    <mergeCell ref="A13:C13"/>
    <mergeCell ref="A14:O14"/>
    <mergeCell ref="B6:C6"/>
    <mergeCell ref="B7:C7"/>
    <mergeCell ref="B12:C12"/>
    <mergeCell ref="B10:C10"/>
    <mergeCell ref="B11:C11"/>
    <mergeCell ref="A23:C23"/>
    <mergeCell ref="A24:C24"/>
    <mergeCell ref="B15:C15"/>
    <mergeCell ref="B16:C16"/>
    <mergeCell ref="B21:C21"/>
    <mergeCell ref="B22:C22"/>
    <mergeCell ref="B19:C19"/>
    <mergeCell ref="B20:C20"/>
    <mergeCell ref="A17:C17"/>
    <mergeCell ref="A18:O18"/>
    <mergeCell ref="A28:C28"/>
    <mergeCell ref="A29:C29"/>
    <mergeCell ref="A31:O31"/>
    <mergeCell ref="A25:O25"/>
    <mergeCell ref="A26:O26"/>
    <mergeCell ref="B27:C27"/>
    <mergeCell ref="A30:O30"/>
    <mergeCell ref="B40:C40"/>
    <mergeCell ref="B32:C32"/>
    <mergeCell ref="A36:C36"/>
    <mergeCell ref="A34:O34"/>
    <mergeCell ref="B35:C35"/>
    <mergeCell ref="A33:C33"/>
    <mergeCell ref="B52:C52"/>
    <mergeCell ref="B53:C53"/>
    <mergeCell ref="A37:C37"/>
    <mergeCell ref="A46:C46"/>
    <mergeCell ref="A43:O43"/>
    <mergeCell ref="B44:C44"/>
    <mergeCell ref="B41:C41"/>
    <mergeCell ref="A42:C42"/>
    <mergeCell ref="A38:O38"/>
    <mergeCell ref="A39:O39"/>
    <mergeCell ref="A58:C58"/>
    <mergeCell ref="A59:O59"/>
    <mergeCell ref="A50:C50"/>
    <mergeCell ref="A45:C45"/>
    <mergeCell ref="A51:O51"/>
    <mergeCell ref="A47:O47"/>
    <mergeCell ref="A48:O48"/>
    <mergeCell ref="B49:C49"/>
    <mergeCell ref="A54:C54"/>
    <mergeCell ref="A55:O55"/>
    <mergeCell ref="B56:C56"/>
    <mergeCell ref="B57:C57"/>
    <mergeCell ref="A66:C66"/>
    <mergeCell ref="A67:O67"/>
    <mergeCell ref="A64:O64"/>
    <mergeCell ref="B65:C65"/>
    <mergeCell ref="A62:C62"/>
    <mergeCell ref="A63:O63"/>
    <mergeCell ref="B60:C60"/>
    <mergeCell ref="A61:C61"/>
    <mergeCell ref="B68:C68"/>
    <mergeCell ref="A69:C69"/>
    <mergeCell ref="B74:C74"/>
    <mergeCell ref="B75:C75"/>
    <mergeCell ref="B72:C72"/>
    <mergeCell ref="B73:C73"/>
    <mergeCell ref="A80:C80"/>
    <mergeCell ref="A70:O70"/>
    <mergeCell ref="B71:C71"/>
    <mergeCell ref="A81:O81"/>
    <mergeCell ref="B78:C78"/>
    <mergeCell ref="A79:C79"/>
    <mergeCell ref="A76:C76"/>
    <mergeCell ref="A77:O77"/>
    <mergeCell ref="A82:O82"/>
    <mergeCell ref="B83:C83"/>
    <mergeCell ref="T91:W91"/>
    <mergeCell ref="T98:W98"/>
    <mergeCell ref="A86:C86"/>
    <mergeCell ref="A84:C84"/>
    <mergeCell ref="A85:C85"/>
  </mergeCells>
  <printOptions/>
  <pageMargins left="1.45" right="0.24" top="0.86" bottom="0.38" header="0.57" footer="0.28"/>
  <pageSetup firstPageNumber="15" useFirstPageNumber="1" horizontalDpi="300" verticalDpi="300" orientation="portrait" pageOrder="overThenDown" paperSize="9" scale="65" r:id="rId1"/>
  <headerFooter alignWithMargins="0">
    <oddHeader>&amp;C&amp;"Arial,Tučné"&amp;12Schválený rozpočet rok 2013 - objednávky veřejných služeb&amp;R&amp;"Arial,Tučné"Příloha č. 9</oddHeader>
    <oddFooter>&amp;C&amp;P</oddFooter>
  </headerFooter>
  <rowBreaks count="2" manualBreakCount="2">
    <brk id="46" max="14" man="1"/>
    <brk id="80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Z17" sqref="Z17"/>
    </sheetView>
  </sheetViews>
  <sheetFormatPr defaultColWidth="9.140625" defaultRowHeight="12.75"/>
  <cols>
    <col min="4" max="4" width="17.57421875" style="0" customWidth="1"/>
    <col min="5" max="5" width="0" style="129" hidden="1" customWidth="1"/>
    <col min="6" max="6" width="2.7109375" style="129" hidden="1" customWidth="1"/>
    <col min="7" max="7" width="11.421875" style="129" hidden="1" customWidth="1"/>
    <col min="8" max="8" width="9.140625" style="129" hidden="1" customWidth="1"/>
    <col min="9" max="9" width="0" style="129" hidden="1" customWidth="1"/>
    <col min="10" max="10" width="2.28125" style="129" hidden="1" customWidth="1"/>
    <col min="11" max="11" width="0.13671875" style="129" hidden="1" customWidth="1"/>
    <col min="12" max="12" width="12.00390625" style="129" hidden="1" customWidth="1"/>
    <col min="13" max="13" width="11.28125" style="129" hidden="1" customWidth="1"/>
    <col min="14" max="14" width="9.140625" style="129" hidden="1" customWidth="1"/>
    <col min="15" max="16" width="11.140625" style="129" hidden="1" customWidth="1"/>
    <col min="17" max="17" width="12.57421875" style="129" customWidth="1"/>
    <col min="22" max="22" width="18.28125" style="0" customWidth="1"/>
  </cols>
  <sheetData>
    <row r="1" spans="1:22" ht="72" customHeight="1" thickBot="1">
      <c r="A1" s="261" t="s">
        <v>181</v>
      </c>
      <c r="B1" s="357" t="s">
        <v>182</v>
      </c>
      <c r="C1" s="357"/>
      <c r="D1" s="357"/>
      <c r="E1" s="358" t="s">
        <v>207</v>
      </c>
      <c r="F1" s="358"/>
      <c r="G1" s="358" t="s">
        <v>630</v>
      </c>
      <c r="H1" s="358"/>
      <c r="I1" s="358" t="s">
        <v>161</v>
      </c>
      <c r="J1" s="358"/>
      <c r="K1" s="358"/>
      <c r="L1" s="262" t="s">
        <v>343</v>
      </c>
      <c r="M1" s="262" t="s">
        <v>71</v>
      </c>
      <c r="N1" s="358" t="s">
        <v>631</v>
      </c>
      <c r="O1" s="358"/>
      <c r="P1" s="262" t="s">
        <v>294</v>
      </c>
      <c r="Q1" s="262" t="s">
        <v>460</v>
      </c>
      <c r="R1" s="357" t="s">
        <v>384</v>
      </c>
      <c r="S1" s="357"/>
      <c r="T1" s="357"/>
      <c r="U1" s="357"/>
      <c r="V1" s="357"/>
    </row>
    <row r="2" spans="1:22" ht="12.75">
      <c r="A2" s="359" t="s">
        <v>183</v>
      </c>
      <c r="B2" s="359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"/>
      <c r="S2" s="1"/>
      <c r="T2" s="1"/>
      <c r="U2" s="1"/>
      <c r="V2" s="1"/>
    </row>
    <row r="3" spans="1:22" ht="19.5" customHeight="1">
      <c r="A3" s="351" t="s">
        <v>632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22" ht="19.5" customHeight="1">
      <c r="A4" s="352" t="s">
        <v>633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ht="28.5" customHeight="1">
      <c r="A5" s="3" t="s">
        <v>180</v>
      </c>
      <c r="B5" s="353" t="s">
        <v>634</v>
      </c>
      <c r="C5" s="353"/>
      <c r="D5" s="353"/>
      <c r="E5" s="354">
        <v>96800</v>
      </c>
      <c r="F5" s="354"/>
      <c r="G5" s="354">
        <v>94864</v>
      </c>
      <c r="H5" s="354"/>
      <c r="I5" s="354">
        <v>79376</v>
      </c>
      <c r="J5" s="354"/>
      <c r="K5" s="354"/>
      <c r="L5" s="67">
        <v>101700</v>
      </c>
      <c r="M5" s="67"/>
      <c r="N5" s="397">
        <f>101700+M5</f>
        <v>101700</v>
      </c>
      <c r="O5" s="397"/>
      <c r="P5" s="135"/>
      <c r="Q5" s="203">
        <f>N5+P5</f>
        <v>101700</v>
      </c>
      <c r="R5" s="355" t="s">
        <v>370</v>
      </c>
      <c r="S5" s="355"/>
      <c r="T5" s="355"/>
      <c r="U5" s="355"/>
      <c r="V5" s="355"/>
    </row>
    <row r="6" spans="1:22" ht="19.5" customHeight="1">
      <c r="A6" s="345" t="s">
        <v>635</v>
      </c>
      <c r="B6" s="345"/>
      <c r="C6" s="345"/>
      <c r="D6" s="345"/>
      <c r="E6" s="350">
        <v>96800</v>
      </c>
      <c r="F6" s="350"/>
      <c r="G6" s="350">
        <v>100616</v>
      </c>
      <c r="H6" s="350"/>
      <c r="I6" s="350">
        <v>85128</v>
      </c>
      <c r="J6" s="350"/>
      <c r="K6" s="350"/>
      <c r="L6" s="69">
        <v>101700</v>
      </c>
      <c r="M6" s="69" t="e">
        <f>#REF!</f>
        <v>#REF!</v>
      </c>
      <c r="N6" s="349" t="e">
        <f>#REF!</f>
        <v>#REF!</v>
      </c>
      <c r="O6" s="349"/>
      <c r="P6" s="4" t="e">
        <f>#REF!</f>
        <v>#REF!</v>
      </c>
      <c r="Q6" s="205">
        <f>Q5</f>
        <v>101700</v>
      </c>
      <c r="R6" s="348" t="s">
        <v>180</v>
      </c>
      <c r="S6" s="348"/>
      <c r="T6" s="348"/>
      <c r="U6" s="348"/>
      <c r="V6" s="348"/>
    </row>
    <row r="7" spans="1:22" ht="19.5" customHeight="1">
      <c r="A7" s="351" t="s">
        <v>636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</row>
    <row r="8" spans="1:22" ht="19.5" customHeight="1">
      <c r="A8" s="352" t="s">
        <v>633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</row>
    <row r="9" spans="1:22" ht="19.5" customHeight="1">
      <c r="A9" s="3" t="s">
        <v>180</v>
      </c>
      <c r="B9" s="353" t="s">
        <v>634</v>
      </c>
      <c r="C9" s="353"/>
      <c r="D9" s="353"/>
      <c r="E9" s="354">
        <v>4200</v>
      </c>
      <c r="F9" s="354"/>
      <c r="G9" s="354">
        <v>4116</v>
      </c>
      <c r="H9" s="354"/>
      <c r="I9" s="354">
        <v>3444</v>
      </c>
      <c r="J9" s="354"/>
      <c r="K9" s="354"/>
      <c r="L9" s="67">
        <v>4370</v>
      </c>
      <c r="M9" s="67"/>
      <c r="N9" s="397">
        <f>4370+M9</f>
        <v>4370</v>
      </c>
      <c r="O9" s="397"/>
      <c r="P9" s="135">
        <v>-270</v>
      </c>
      <c r="Q9" s="203">
        <f>N9+P9</f>
        <v>4100</v>
      </c>
      <c r="R9" s="355" t="s">
        <v>637</v>
      </c>
      <c r="S9" s="355"/>
      <c r="T9" s="355"/>
      <c r="U9" s="355"/>
      <c r="V9" s="355"/>
    </row>
    <row r="10" spans="1:22" ht="19.5" customHeight="1">
      <c r="A10" s="345" t="s">
        <v>525</v>
      </c>
      <c r="B10" s="345"/>
      <c r="C10" s="345"/>
      <c r="D10" s="345"/>
      <c r="E10" s="350">
        <v>4200</v>
      </c>
      <c r="F10" s="350"/>
      <c r="G10" s="350">
        <v>4176</v>
      </c>
      <c r="H10" s="350"/>
      <c r="I10" s="350">
        <v>3504</v>
      </c>
      <c r="J10" s="350"/>
      <c r="K10" s="350"/>
      <c r="L10" s="69">
        <v>4370</v>
      </c>
      <c r="M10" s="69" t="e">
        <f>#REF!</f>
        <v>#REF!</v>
      </c>
      <c r="N10" s="349" t="e">
        <f>#REF!</f>
        <v>#REF!</v>
      </c>
      <c r="O10" s="349"/>
      <c r="P10" s="4" t="e">
        <f>#REF!</f>
        <v>#REF!</v>
      </c>
      <c r="Q10" s="205">
        <f>Q9</f>
        <v>4100</v>
      </c>
      <c r="R10" s="348" t="s">
        <v>180</v>
      </c>
      <c r="S10" s="348"/>
      <c r="T10" s="348"/>
      <c r="U10" s="348"/>
      <c r="V10" s="348"/>
    </row>
    <row r="11" spans="1:22" ht="19.5" customHeight="1">
      <c r="A11" s="351" t="s">
        <v>526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22" ht="19.5" customHeight="1">
      <c r="A12" s="352" t="s">
        <v>527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</row>
    <row r="13" spans="1:22" ht="19.5" customHeight="1">
      <c r="A13" s="3" t="s">
        <v>180</v>
      </c>
      <c r="B13" s="353" t="s">
        <v>634</v>
      </c>
      <c r="C13" s="353"/>
      <c r="D13" s="353"/>
      <c r="E13" s="354">
        <v>38190</v>
      </c>
      <c r="F13" s="354"/>
      <c r="G13" s="354">
        <v>38391</v>
      </c>
      <c r="H13" s="354"/>
      <c r="I13" s="354">
        <v>32292</v>
      </c>
      <c r="J13" s="354"/>
      <c r="K13" s="354"/>
      <c r="L13" s="67">
        <v>38190</v>
      </c>
      <c r="M13" s="67"/>
      <c r="N13" s="397">
        <f>38190+M13</f>
        <v>38190</v>
      </c>
      <c r="O13" s="397"/>
      <c r="P13" s="135">
        <v>-790</v>
      </c>
      <c r="Q13" s="203">
        <v>37400</v>
      </c>
      <c r="R13" s="355" t="s">
        <v>528</v>
      </c>
      <c r="S13" s="355"/>
      <c r="T13" s="355"/>
      <c r="U13" s="355"/>
      <c r="V13" s="355"/>
    </row>
    <row r="14" spans="1:22" ht="19.5" customHeight="1">
      <c r="A14" s="345" t="s">
        <v>529</v>
      </c>
      <c r="B14" s="345"/>
      <c r="C14" s="345"/>
      <c r="D14" s="345"/>
      <c r="E14" s="350">
        <v>38190</v>
      </c>
      <c r="F14" s="350"/>
      <c r="G14" s="350">
        <v>40590</v>
      </c>
      <c r="H14" s="350"/>
      <c r="I14" s="350">
        <v>34491</v>
      </c>
      <c r="J14" s="350"/>
      <c r="K14" s="350"/>
      <c r="L14" s="69">
        <v>38190</v>
      </c>
      <c r="M14" s="69" t="e">
        <f>#REF!</f>
        <v>#REF!</v>
      </c>
      <c r="N14" s="349" t="e">
        <f>#REF!</f>
        <v>#REF!</v>
      </c>
      <c r="O14" s="349"/>
      <c r="P14" s="4" t="e">
        <f>#REF!</f>
        <v>#REF!</v>
      </c>
      <c r="Q14" s="205">
        <f>Q13</f>
        <v>37400</v>
      </c>
      <c r="R14" s="348" t="s">
        <v>180</v>
      </c>
      <c r="S14" s="348"/>
      <c r="T14" s="348"/>
      <c r="U14" s="348"/>
      <c r="V14" s="348"/>
    </row>
    <row r="15" spans="1:22" ht="19.5" customHeight="1">
      <c r="A15" s="351" t="s">
        <v>530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</row>
    <row r="16" spans="1:22" ht="19.5" customHeight="1">
      <c r="A16" s="352" t="s">
        <v>531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</row>
    <row r="17" spans="1:22" ht="30" customHeight="1">
      <c r="A17" s="3" t="s">
        <v>180</v>
      </c>
      <c r="B17" s="353" t="s">
        <v>634</v>
      </c>
      <c r="C17" s="353"/>
      <c r="D17" s="353"/>
      <c r="E17" s="354">
        <v>18099</v>
      </c>
      <c r="F17" s="354"/>
      <c r="G17" s="354">
        <v>18092</v>
      </c>
      <c r="H17" s="354"/>
      <c r="I17" s="354">
        <v>15079</v>
      </c>
      <c r="J17" s="354"/>
      <c r="K17" s="354"/>
      <c r="L17" s="67">
        <v>18461</v>
      </c>
      <c r="M17" s="67"/>
      <c r="N17" s="397">
        <f>18461+M17</f>
        <v>18461</v>
      </c>
      <c r="O17" s="397"/>
      <c r="P17" s="135">
        <v>-2461</v>
      </c>
      <c r="Q17" s="203">
        <f>N17+P17</f>
        <v>16000</v>
      </c>
      <c r="R17" s="355" t="s">
        <v>154</v>
      </c>
      <c r="S17" s="355"/>
      <c r="T17" s="355"/>
      <c r="U17" s="355"/>
      <c r="V17" s="355"/>
    </row>
    <row r="18" spans="1:22" ht="19.5" customHeight="1">
      <c r="A18" s="345" t="s">
        <v>638</v>
      </c>
      <c r="B18" s="345"/>
      <c r="C18" s="345"/>
      <c r="D18" s="345"/>
      <c r="E18" s="350">
        <v>18099</v>
      </c>
      <c r="F18" s="350"/>
      <c r="G18" s="350">
        <v>20412</v>
      </c>
      <c r="H18" s="350"/>
      <c r="I18" s="350">
        <v>16832</v>
      </c>
      <c r="J18" s="350"/>
      <c r="K18" s="350"/>
      <c r="L18" s="69">
        <v>18461</v>
      </c>
      <c r="M18" s="69" t="e">
        <f>#REF!</f>
        <v>#REF!</v>
      </c>
      <c r="N18" s="349" t="e">
        <f>#REF!</f>
        <v>#REF!</v>
      </c>
      <c r="O18" s="349"/>
      <c r="P18" s="4" t="e">
        <f>#REF!</f>
        <v>#REF!</v>
      </c>
      <c r="Q18" s="205">
        <f>Q17</f>
        <v>16000</v>
      </c>
      <c r="R18" s="348" t="s">
        <v>180</v>
      </c>
      <c r="S18" s="348"/>
      <c r="T18" s="348"/>
      <c r="U18" s="348"/>
      <c r="V18" s="348"/>
    </row>
    <row r="19" spans="1:22" ht="19.5" customHeight="1">
      <c r="A19" s="351" t="s">
        <v>639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</row>
    <row r="20" spans="1:22" ht="19.5" customHeight="1">
      <c r="A20" s="352" t="s">
        <v>20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</row>
    <row r="21" spans="1:22" ht="19.5" customHeight="1">
      <c r="A21" s="3" t="s">
        <v>180</v>
      </c>
      <c r="B21" s="353" t="s">
        <v>634</v>
      </c>
      <c r="C21" s="353"/>
      <c r="D21" s="353"/>
      <c r="E21" s="354">
        <v>3570</v>
      </c>
      <c r="F21" s="354"/>
      <c r="G21" s="354">
        <v>3499</v>
      </c>
      <c r="H21" s="354"/>
      <c r="I21" s="354">
        <v>2928</v>
      </c>
      <c r="J21" s="354"/>
      <c r="K21" s="354"/>
      <c r="L21" s="67">
        <v>3500</v>
      </c>
      <c r="M21" s="67"/>
      <c r="N21" s="397">
        <f>3500+M21</f>
        <v>3500</v>
      </c>
      <c r="O21" s="397"/>
      <c r="P21" s="135"/>
      <c r="Q21" s="203">
        <f>N21+P21</f>
        <v>3500</v>
      </c>
      <c r="R21" s="355" t="s">
        <v>640</v>
      </c>
      <c r="S21" s="355"/>
      <c r="T21" s="355"/>
      <c r="U21" s="355"/>
      <c r="V21" s="355"/>
    </row>
    <row r="22" spans="1:22" ht="19.5" customHeight="1">
      <c r="A22" s="345" t="s">
        <v>641</v>
      </c>
      <c r="B22" s="345"/>
      <c r="C22" s="345"/>
      <c r="D22" s="345"/>
      <c r="E22" s="350">
        <v>3570</v>
      </c>
      <c r="F22" s="350"/>
      <c r="G22" s="350">
        <v>3499</v>
      </c>
      <c r="H22" s="350"/>
      <c r="I22" s="350">
        <v>2928</v>
      </c>
      <c r="J22" s="350"/>
      <c r="K22" s="350"/>
      <c r="L22" s="69">
        <v>3500</v>
      </c>
      <c r="M22" s="69" t="e">
        <f>#REF!</f>
        <v>#REF!</v>
      </c>
      <c r="N22" s="349" t="e">
        <f>#REF!</f>
        <v>#REF!</v>
      </c>
      <c r="O22" s="349"/>
      <c r="P22" s="4" t="e">
        <f>#REF!</f>
        <v>#REF!</v>
      </c>
      <c r="Q22" s="205">
        <f>Q21</f>
        <v>3500</v>
      </c>
      <c r="R22" s="348" t="s">
        <v>180</v>
      </c>
      <c r="S22" s="348"/>
      <c r="T22" s="348"/>
      <c r="U22" s="348"/>
      <c r="V22" s="348"/>
    </row>
    <row r="23" spans="1:22" ht="19.5" customHeight="1">
      <c r="A23" s="351" t="s">
        <v>642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</row>
    <row r="24" spans="1:22" ht="19.5" customHeight="1">
      <c r="A24" s="352" t="s">
        <v>643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</row>
    <row r="25" spans="1:22" ht="19.5" customHeight="1">
      <c r="A25" s="3" t="s">
        <v>180</v>
      </c>
      <c r="B25" s="353" t="s">
        <v>634</v>
      </c>
      <c r="C25" s="353"/>
      <c r="D25" s="353"/>
      <c r="E25" s="354">
        <v>23628</v>
      </c>
      <c r="F25" s="354"/>
      <c r="G25" s="354">
        <v>23155</v>
      </c>
      <c r="H25" s="354"/>
      <c r="I25" s="354">
        <v>18825</v>
      </c>
      <c r="J25" s="354"/>
      <c r="K25" s="354"/>
      <c r="L25" s="67">
        <v>24101</v>
      </c>
      <c r="M25" s="67"/>
      <c r="N25" s="397">
        <f>24101+M25</f>
        <v>24101</v>
      </c>
      <c r="O25" s="397"/>
      <c r="P25" s="135">
        <v>-1501</v>
      </c>
      <c r="Q25" s="203">
        <f>N25+P25</f>
        <v>22600</v>
      </c>
      <c r="R25" s="355" t="s">
        <v>644</v>
      </c>
      <c r="S25" s="355"/>
      <c r="T25" s="355"/>
      <c r="U25" s="355"/>
      <c r="V25" s="355"/>
    </row>
    <row r="26" spans="1:22" ht="19.5" customHeight="1">
      <c r="A26" s="345" t="s">
        <v>645</v>
      </c>
      <c r="B26" s="345"/>
      <c r="C26" s="345"/>
      <c r="D26" s="345"/>
      <c r="E26" s="350">
        <v>23628</v>
      </c>
      <c r="F26" s="350"/>
      <c r="G26" s="350">
        <v>24545</v>
      </c>
      <c r="H26" s="350"/>
      <c r="I26" s="350">
        <v>20215</v>
      </c>
      <c r="J26" s="350"/>
      <c r="K26" s="350"/>
      <c r="L26" s="69">
        <v>24101</v>
      </c>
      <c r="M26" s="69" t="e">
        <f>#REF!</f>
        <v>#REF!</v>
      </c>
      <c r="N26" s="349" t="e">
        <f>#REF!</f>
        <v>#REF!</v>
      </c>
      <c r="O26" s="349"/>
      <c r="P26" s="4" t="e">
        <f>#REF!</f>
        <v>#REF!</v>
      </c>
      <c r="Q26" s="205">
        <f>Q25</f>
        <v>22600</v>
      </c>
      <c r="R26" s="348" t="s">
        <v>180</v>
      </c>
      <c r="S26" s="348"/>
      <c r="T26" s="348"/>
      <c r="U26" s="348"/>
      <c r="V26" s="348"/>
    </row>
    <row r="27" spans="1:22" ht="35.25" customHeight="1">
      <c r="A27" s="345" t="s">
        <v>232</v>
      </c>
      <c r="B27" s="345"/>
      <c r="C27" s="345"/>
      <c r="D27" s="345"/>
      <c r="E27" s="346">
        <v>184487</v>
      </c>
      <c r="F27" s="346"/>
      <c r="G27" s="346">
        <v>193838</v>
      </c>
      <c r="H27" s="346"/>
      <c r="I27" s="346">
        <v>163098</v>
      </c>
      <c r="J27" s="346"/>
      <c r="K27" s="346"/>
      <c r="L27" s="68">
        <v>190322</v>
      </c>
      <c r="M27" s="68" t="e">
        <f>M26+M22+M14+M10+M6</f>
        <v>#REF!</v>
      </c>
      <c r="N27" s="349" t="e">
        <f>N26+N22+N18+N14+N10+N6</f>
        <v>#REF!</v>
      </c>
      <c r="O27" s="349"/>
      <c r="P27" s="4" t="e">
        <f>P26+P22+P18+P14+P10+P6</f>
        <v>#REF!</v>
      </c>
      <c r="Q27" s="241">
        <f>Q26+Q22+Q18+Q14+Q10+Q6</f>
        <v>185300</v>
      </c>
      <c r="R27" s="348" t="s">
        <v>180</v>
      </c>
      <c r="S27" s="348"/>
      <c r="T27" s="348"/>
      <c r="U27" s="348"/>
      <c r="V27" s="348"/>
    </row>
  </sheetData>
  <sheetProtection/>
  <mergeCells count="97">
    <mergeCell ref="N1:O1"/>
    <mergeCell ref="R1:V1"/>
    <mergeCell ref="B1:D1"/>
    <mergeCell ref="E1:F1"/>
    <mergeCell ref="G1:H1"/>
    <mergeCell ref="I1:K1"/>
    <mergeCell ref="A2:B2"/>
    <mergeCell ref="A3:V3"/>
    <mergeCell ref="A4:V4"/>
    <mergeCell ref="B5:D5"/>
    <mergeCell ref="E5:F5"/>
    <mergeCell ref="G5:H5"/>
    <mergeCell ref="I5:K5"/>
    <mergeCell ref="N5:O5"/>
    <mergeCell ref="R5:V5"/>
    <mergeCell ref="N6:O6"/>
    <mergeCell ref="R6:V6"/>
    <mergeCell ref="A6:D6"/>
    <mergeCell ref="E6:F6"/>
    <mergeCell ref="G6:H6"/>
    <mergeCell ref="I6:K6"/>
    <mergeCell ref="A7:V7"/>
    <mergeCell ref="A8:V8"/>
    <mergeCell ref="B9:D9"/>
    <mergeCell ref="E9:F9"/>
    <mergeCell ref="G9:H9"/>
    <mergeCell ref="I9:K9"/>
    <mergeCell ref="N9:O9"/>
    <mergeCell ref="R9:V9"/>
    <mergeCell ref="G13:H13"/>
    <mergeCell ref="I13:K13"/>
    <mergeCell ref="N10:O10"/>
    <mergeCell ref="R10:V10"/>
    <mergeCell ref="A11:V11"/>
    <mergeCell ref="A12:V12"/>
    <mergeCell ref="A10:D10"/>
    <mergeCell ref="E10:F10"/>
    <mergeCell ref="G10:H10"/>
    <mergeCell ref="I10:K10"/>
    <mergeCell ref="G14:H14"/>
    <mergeCell ref="I14:K14"/>
    <mergeCell ref="A14:D14"/>
    <mergeCell ref="E14:F14"/>
    <mergeCell ref="N13:O13"/>
    <mergeCell ref="R13:V13"/>
    <mergeCell ref="N14:O14"/>
    <mergeCell ref="R14:V14"/>
    <mergeCell ref="B13:D13"/>
    <mergeCell ref="E13:F13"/>
    <mergeCell ref="A22:D22"/>
    <mergeCell ref="E22:F22"/>
    <mergeCell ref="A15:V15"/>
    <mergeCell ref="A16:V16"/>
    <mergeCell ref="B17:D17"/>
    <mergeCell ref="E17:F17"/>
    <mergeCell ref="G17:H17"/>
    <mergeCell ref="I17:K17"/>
    <mergeCell ref="N17:O17"/>
    <mergeCell ref="R17:V17"/>
    <mergeCell ref="G22:H22"/>
    <mergeCell ref="I22:K22"/>
    <mergeCell ref="N22:O22"/>
    <mergeCell ref="R22:V22"/>
    <mergeCell ref="A19:V19"/>
    <mergeCell ref="A20:V20"/>
    <mergeCell ref="B21:D21"/>
    <mergeCell ref="E21:F21"/>
    <mergeCell ref="A18:D18"/>
    <mergeCell ref="E18:F18"/>
    <mergeCell ref="N18:O18"/>
    <mergeCell ref="R18:V18"/>
    <mergeCell ref="G18:H18"/>
    <mergeCell ref="I18:K18"/>
    <mergeCell ref="N21:O21"/>
    <mergeCell ref="R21:V21"/>
    <mergeCell ref="G21:H21"/>
    <mergeCell ref="I21:K21"/>
    <mergeCell ref="N27:O27"/>
    <mergeCell ref="R27:V27"/>
    <mergeCell ref="N26:O26"/>
    <mergeCell ref="R26:V26"/>
    <mergeCell ref="A23:V23"/>
    <mergeCell ref="A24:V24"/>
    <mergeCell ref="N25:O25"/>
    <mergeCell ref="R25:V25"/>
    <mergeCell ref="B25:D25"/>
    <mergeCell ref="E25:F25"/>
    <mergeCell ref="G25:H25"/>
    <mergeCell ref="I25:K25"/>
    <mergeCell ref="G26:H26"/>
    <mergeCell ref="I26:K26"/>
    <mergeCell ref="A27:D27"/>
    <mergeCell ref="E27:F27"/>
    <mergeCell ref="G27:H27"/>
    <mergeCell ref="I27:K27"/>
    <mergeCell ref="A26:D26"/>
    <mergeCell ref="E26:F26"/>
  </mergeCells>
  <printOptions/>
  <pageMargins left="0.98" right="0.17" top="1.45" bottom="1" header="0.84" footer="0.4921259845"/>
  <pageSetup firstPageNumber="18" useFirstPageNumber="1" horizontalDpi="600" verticalDpi="600" orientation="portrait" paperSize="9" scale="75" r:id="rId1"/>
  <headerFooter alignWithMargins="0">
    <oddHeader>&amp;C&amp;"Arial,Tučné"&amp;12Schválený rozpočet rok 2013 - neinv. příspěvky - příspěvkové organizace&amp;R&amp;"Arial,Tučné"Příloha č. 10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16">
      <selection activeCell="AA4" sqref="AA4"/>
    </sheetView>
  </sheetViews>
  <sheetFormatPr defaultColWidth="9.140625" defaultRowHeight="12.75"/>
  <cols>
    <col min="4" max="4" width="19.140625" style="0" customWidth="1"/>
    <col min="5" max="5" width="0" style="129" hidden="1" customWidth="1"/>
    <col min="6" max="6" width="3.00390625" style="129" hidden="1" customWidth="1"/>
    <col min="7" max="7" width="11.57421875" style="129" hidden="1" customWidth="1"/>
    <col min="8" max="8" width="9.140625" style="129" hidden="1" customWidth="1"/>
    <col min="9" max="9" width="11.28125" style="129" hidden="1" customWidth="1"/>
    <col min="10" max="11" width="0.13671875" style="129" hidden="1" customWidth="1"/>
    <col min="12" max="12" width="13.00390625" style="129" hidden="1" customWidth="1"/>
    <col min="13" max="13" width="11.8515625" style="129" hidden="1" customWidth="1"/>
    <col min="14" max="14" width="11.57421875" style="129" hidden="1" customWidth="1"/>
    <col min="15" max="15" width="9.140625" style="0" hidden="1" customWidth="1"/>
    <col min="16" max="16" width="0" style="0" hidden="1" customWidth="1"/>
    <col min="17" max="17" width="12.140625" style="0" customWidth="1"/>
  </cols>
  <sheetData>
    <row r="1" spans="1:22" ht="50.25" customHeight="1" thickBot="1">
      <c r="A1" s="261" t="s">
        <v>181</v>
      </c>
      <c r="B1" s="357" t="s">
        <v>182</v>
      </c>
      <c r="C1" s="357"/>
      <c r="D1" s="357"/>
      <c r="E1" s="358" t="s">
        <v>207</v>
      </c>
      <c r="F1" s="358"/>
      <c r="G1" s="358" t="s">
        <v>501</v>
      </c>
      <c r="H1" s="358"/>
      <c r="I1" s="358" t="s">
        <v>161</v>
      </c>
      <c r="J1" s="358"/>
      <c r="K1" s="358"/>
      <c r="L1" s="262" t="s">
        <v>579</v>
      </c>
      <c r="M1" s="262" t="s">
        <v>71</v>
      </c>
      <c r="N1" s="357" t="s">
        <v>171</v>
      </c>
      <c r="O1" s="357"/>
      <c r="P1" s="262" t="s">
        <v>294</v>
      </c>
      <c r="Q1" s="262" t="s">
        <v>460</v>
      </c>
      <c r="R1" s="357" t="s">
        <v>384</v>
      </c>
      <c r="S1" s="357"/>
      <c r="T1" s="357"/>
      <c r="U1" s="357"/>
      <c r="V1" s="357"/>
    </row>
    <row r="2" spans="1:22" ht="12.75">
      <c r="A2" s="1"/>
      <c r="B2" s="1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"/>
      <c r="P2" s="1"/>
      <c r="Q2" s="1"/>
      <c r="R2" s="1"/>
      <c r="S2" s="1"/>
      <c r="T2" s="1"/>
      <c r="U2" s="1"/>
      <c r="V2" s="1"/>
    </row>
    <row r="3" spans="1:22" ht="12.75">
      <c r="A3" s="359" t="s">
        <v>183</v>
      </c>
      <c r="B3" s="359"/>
      <c r="C3" s="1"/>
      <c r="D3" s="1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"/>
      <c r="P3" s="1"/>
      <c r="Q3" s="1"/>
      <c r="R3" s="1"/>
      <c r="S3" s="1"/>
      <c r="T3" s="1"/>
      <c r="U3" s="1"/>
      <c r="V3" s="1"/>
    </row>
    <row r="4" spans="1:22" ht="19.5" customHeight="1">
      <c r="A4" s="351" t="s">
        <v>580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</row>
    <row r="5" spans="1:22" ht="19.5" customHeight="1">
      <c r="A5" s="352" t="s">
        <v>14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</row>
    <row r="6" spans="1:22" ht="21.75" customHeight="1">
      <c r="A6" s="3" t="s">
        <v>180</v>
      </c>
      <c r="B6" s="353" t="s">
        <v>581</v>
      </c>
      <c r="C6" s="353"/>
      <c r="D6" s="353"/>
      <c r="E6" s="354">
        <v>2800</v>
      </c>
      <c r="F6" s="354"/>
      <c r="G6" s="354">
        <v>2951</v>
      </c>
      <c r="H6" s="354"/>
      <c r="I6" s="354">
        <v>2503</v>
      </c>
      <c r="J6" s="354"/>
      <c r="K6" s="354"/>
      <c r="L6" s="67">
        <v>3019</v>
      </c>
      <c r="M6" s="67"/>
      <c r="N6" s="353">
        <f>3019+M6</f>
        <v>3019</v>
      </c>
      <c r="O6" s="353"/>
      <c r="P6" s="145"/>
      <c r="Q6" s="203">
        <v>2929</v>
      </c>
      <c r="R6" s="355" t="s">
        <v>582</v>
      </c>
      <c r="S6" s="355"/>
      <c r="T6" s="355"/>
      <c r="U6" s="355"/>
      <c r="V6" s="355"/>
    </row>
    <row r="7" spans="1:22" ht="21.75" customHeight="1">
      <c r="A7" s="3" t="s">
        <v>180</v>
      </c>
      <c r="B7" s="353" t="s">
        <v>581</v>
      </c>
      <c r="C7" s="353"/>
      <c r="D7" s="353"/>
      <c r="E7" s="354" t="s">
        <v>583</v>
      </c>
      <c r="F7" s="354"/>
      <c r="G7" s="354" t="s">
        <v>584</v>
      </c>
      <c r="H7" s="354"/>
      <c r="I7" s="354" t="s">
        <v>147</v>
      </c>
      <c r="J7" s="354"/>
      <c r="K7" s="354"/>
      <c r="L7" s="67" t="s">
        <v>585</v>
      </c>
      <c r="M7" s="67"/>
      <c r="N7" s="353">
        <f>L7+M7</f>
        <v>812</v>
      </c>
      <c r="O7" s="353"/>
      <c r="P7" s="145"/>
      <c r="Q7" s="203">
        <v>792</v>
      </c>
      <c r="R7" s="355" t="s">
        <v>586</v>
      </c>
      <c r="S7" s="355"/>
      <c r="T7" s="355"/>
      <c r="U7" s="355"/>
      <c r="V7" s="355"/>
    </row>
    <row r="8" spans="1:22" ht="21.75" customHeight="1">
      <c r="A8" s="3" t="s">
        <v>180</v>
      </c>
      <c r="B8" s="353" t="s">
        <v>581</v>
      </c>
      <c r="C8" s="353"/>
      <c r="D8" s="353"/>
      <c r="E8" s="354">
        <v>2639</v>
      </c>
      <c r="F8" s="354"/>
      <c r="G8" s="354">
        <v>2586</v>
      </c>
      <c r="H8" s="354"/>
      <c r="I8" s="354">
        <v>2164</v>
      </c>
      <c r="J8" s="354"/>
      <c r="K8" s="354"/>
      <c r="L8" s="67">
        <v>2924</v>
      </c>
      <c r="M8" s="67"/>
      <c r="N8" s="353">
        <f>2924+M8</f>
        <v>2924</v>
      </c>
      <c r="O8" s="353"/>
      <c r="P8" s="145"/>
      <c r="Q8" s="203">
        <v>2844</v>
      </c>
      <c r="R8" s="355" t="s">
        <v>587</v>
      </c>
      <c r="S8" s="355"/>
      <c r="T8" s="355"/>
      <c r="U8" s="355"/>
      <c r="V8" s="355"/>
    </row>
    <row r="9" spans="1:22" ht="21.75" customHeight="1">
      <c r="A9" s="3" t="s">
        <v>180</v>
      </c>
      <c r="B9" s="353" t="s">
        <v>581</v>
      </c>
      <c r="C9" s="353"/>
      <c r="D9" s="353"/>
      <c r="E9" s="354">
        <v>2214</v>
      </c>
      <c r="F9" s="354"/>
      <c r="G9" s="354">
        <v>2170</v>
      </c>
      <c r="H9" s="354"/>
      <c r="I9" s="354">
        <v>1816</v>
      </c>
      <c r="J9" s="354"/>
      <c r="K9" s="354"/>
      <c r="L9" s="67">
        <v>2256</v>
      </c>
      <c r="M9" s="67"/>
      <c r="N9" s="353">
        <f>2256+M9</f>
        <v>2256</v>
      </c>
      <c r="O9" s="353"/>
      <c r="P9" s="145"/>
      <c r="Q9" s="203">
        <v>2196</v>
      </c>
      <c r="R9" s="355" t="s">
        <v>588</v>
      </c>
      <c r="S9" s="355"/>
      <c r="T9" s="355"/>
      <c r="U9" s="355"/>
      <c r="V9" s="355"/>
    </row>
    <row r="10" spans="1:22" ht="21.75" customHeight="1">
      <c r="A10" s="3" t="s">
        <v>180</v>
      </c>
      <c r="B10" s="353" t="s">
        <v>581</v>
      </c>
      <c r="C10" s="353"/>
      <c r="D10" s="353"/>
      <c r="E10" s="354">
        <v>1535</v>
      </c>
      <c r="F10" s="354"/>
      <c r="G10" s="354">
        <v>1504</v>
      </c>
      <c r="H10" s="354"/>
      <c r="I10" s="354">
        <v>1259</v>
      </c>
      <c r="J10" s="354"/>
      <c r="K10" s="354"/>
      <c r="L10" s="67">
        <v>1576</v>
      </c>
      <c r="M10" s="67"/>
      <c r="N10" s="353">
        <f>1576+M10</f>
        <v>1576</v>
      </c>
      <c r="O10" s="353"/>
      <c r="P10" s="145"/>
      <c r="Q10" s="203">
        <v>1536</v>
      </c>
      <c r="R10" s="355" t="s">
        <v>589</v>
      </c>
      <c r="S10" s="355"/>
      <c r="T10" s="355"/>
      <c r="U10" s="355"/>
      <c r="V10" s="355"/>
    </row>
    <row r="11" spans="1:22" ht="21.75" customHeight="1">
      <c r="A11" s="3" t="s">
        <v>180</v>
      </c>
      <c r="B11" s="353" t="s">
        <v>581</v>
      </c>
      <c r="C11" s="353"/>
      <c r="D11" s="353"/>
      <c r="E11" s="354">
        <v>3014</v>
      </c>
      <c r="F11" s="354"/>
      <c r="G11" s="354">
        <v>2754</v>
      </c>
      <c r="H11" s="354"/>
      <c r="I11" s="354">
        <v>2405</v>
      </c>
      <c r="J11" s="354"/>
      <c r="K11" s="354"/>
      <c r="L11" s="67">
        <v>3077</v>
      </c>
      <c r="M11" s="67"/>
      <c r="N11" s="353">
        <f>3077+M11</f>
        <v>3077</v>
      </c>
      <c r="O11" s="353"/>
      <c r="P11" s="145"/>
      <c r="Q11" s="203">
        <v>2987</v>
      </c>
      <c r="R11" s="355" t="s">
        <v>590</v>
      </c>
      <c r="S11" s="355"/>
      <c r="T11" s="355"/>
      <c r="U11" s="355"/>
      <c r="V11" s="355"/>
    </row>
    <row r="12" spans="1:22" ht="21.75" customHeight="1">
      <c r="A12" s="3" t="s">
        <v>180</v>
      </c>
      <c r="B12" s="353" t="s">
        <v>581</v>
      </c>
      <c r="C12" s="353"/>
      <c r="D12" s="353"/>
      <c r="E12" s="354">
        <v>2806</v>
      </c>
      <c r="F12" s="354"/>
      <c r="G12" s="354">
        <v>2750</v>
      </c>
      <c r="H12" s="354"/>
      <c r="I12" s="354">
        <v>2301</v>
      </c>
      <c r="J12" s="354"/>
      <c r="K12" s="354"/>
      <c r="L12" s="67">
        <v>2845</v>
      </c>
      <c r="M12" s="67"/>
      <c r="N12" s="353">
        <f>2845+M12</f>
        <v>2845</v>
      </c>
      <c r="O12" s="353"/>
      <c r="P12" s="145"/>
      <c r="Q12" s="203">
        <v>2765</v>
      </c>
      <c r="R12" s="355" t="s">
        <v>591</v>
      </c>
      <c r="S12" s="355"/>
      <c r="T12" s="355"/>
      <c r="U12" s="355"/>
      <c r="V12" s="355"/>
    </row>
    <row r="13" spans="1:22" ht="21.75" customHeight="1">
      <c r="A13" s="3" t="s">
        <v>180</v>
      </c>
      <c r="B13" s="353" t="s">
        <v>581</v>
      </c>
      <c r="C13" s="353"/>
      <c r="D13" s="353"/>
      <c r="E13" s="354">
        <v>2080</v>
      </c>
      <c r="F13" s="354"/>
      <c r="G13" s="354">
        <v>2039</v>
      </c>
      <c r="H13" s="354"/>
      <c r="I13" s="354">
        <v>1706</v>
      </c>
      <c r="J13" s="354"/>
      <c r="K13" s="354"/>
      <c r="L13" s="67">
        <v>2450</v>
      </c>
      <c r="M13" s="67"/>
      <c r="N13" s="353">
        <f>2450+M13</f>
        <v>2450</v>
      </c>
      <c r="O13" s="353"/>
      <c r="P13" s="145"/>
      <c r="Q13" s="203">
        <v>2380</v>
      </c>
      <c r="R13" s="355" t="s">
        <v>592</v>
      </c>
      <c r="S13" s="355"/>
      <c r="T13" s="355"/>
      <c r="U13" s="355"/>
      <c r="V13" s="355"/>
    </row>
    <row r="14" spans="1:22" ht="21.75" customHeight="1">
      <c r="A14" s="3" t="s">
        <v>180</v>
      </c>
      <c r="B14" s="353" t="s">
        <v>581</v>
      </c>
      <c r="C14" s="353"/>
      <c r="D14" s="353"/>
      <c r="E14" s="354">
        <v>3330</v>
      </c>
      <c r="F14" s="354"/>
      <c r="G14" s="354">
        <v>3280</v>
      </c>
      <c r="H14" s="354"/>
      <c r="I14" s="354">
        <v>2736</v>
      </c>
      <c r="J14" s="354"/>
      <c r="K14" s="354"/>
      <c r="L14" s="67">
        <v>3390</v>
      </c>
      <c r="M14" s="67"/>
      <c r="N14" s="353">
        <f>3390+M14</f>
        <v>3390</v>
      </c>
      <c r="O14" s="353"/>
      <c r="P14" s="145"/>
      <c r="Q14" s="203">
        <v>3140</v>
      </c>
      <c r="R14" s="355" t="s">
        <v>593</v>
      </c>
      <c r="S14" s="355"/>
      <c r="T14" s="355"/>
      <c r="U14" s="355"/>
      <c r="V14" s="355"/>
    </row>
    <row r="15" spans="1:22" ht="21.75" customHeight="1">
      <c r="A15" s="3" t="s">
        <v>180</v>
      </c>
      <c r="B15" s="353" t="s">
        <v>581</v>
      </c>
      <c r="C15" s="353"/>
      <c r="D15" s="353"/>
      <c r="E15" s="354">
        <v>1371</v>
      </c>
      <c r="F15" s="354"/>
      <c r="G15" s="354">
        <v>1344</v>
      </c>
      <c r="H15" s="354"/>
      <c r="I15" s="354">
        <v>1124</v>
      </c>
      <c r="J15" s="354"/>
      <c r="K15" s="354"/>
      <c r="L15" s="67">
        <v>2906</v>
      </c>
      <c r="M15" s="67"/>
      <c r="N15" s="353">
        <f>2906+M15</f>
        <v>2906</v>
      </c>
      <c r="O15" s="353"/>
      <c r="P15" s="145"/>
      <c r="Q15" s="203">
        <v>2826</v>
      </c>
      <c r="R15" s="355" t="s">
        <v>594</v>
      </c>
      <c r="S15" s="355"/>
      <c r="T15" s="355"/>
      <c r="U15" s="355"/>
      <c r="V15" s="355"/>
    </row>
    <row r="16" spans="1:22" ht="21.75" customHeight="1">
      <c r="A16" s="3" t="s">
        <v>180</v>
      </c>
      <c r="B16" s="353" t="s">
        <v>581</v>
      </c>
      <c r="C16" s="353"/>
      <c r="D16" s="353"/>
      <c r="E16" s="354">
        <v>1464</v>
      </c>
      <c r="F16" s="354"/>
      <c r="G16" s="354">
        <v>1435</v>
      </c>
      <c r="H16" s="354"/>
      <c r="I16" s="354">
        <v>1201</v>
      </c>
      <c r="J16" s="354"/>
      <c r="K16" s="354"/>
      <c r="L16" s="67">
        <v>2266</v>
      </c>
      <c r="M16" s="67"/>
      <c r="N16" s="353">
        <f>2266+M16</f>
        <v>2266</v>
      </c>
      <c r="O16" s="353"/>
      <c r="P16" s="145"/>
      <c r="Q16" s="203">
        <v>2206</v>
      </c>
      <c r="R16" s="355" t="s">
        <v>595</v>
      </c>
      <c r="S16" s="355"/>
      <c r="T16" s="355"/>
      <c r="U16" s="355"/>
      <c r="V16" s="355"/>
    </row>
    <row r="17" spans="1:22" ht="21.75" customHeight="1">
      <c r="A17" s="3" t="s">
        <v>180</v>
      </c>
      <c r="B17" s="353" t="s">
        <v>581</v>
      </c>
      <c r="C17" s="353"/>
      <c r="D17" s="353"/>
      <c r="E17" s="354">
        <v>2198</v>
      </c>
      <c r="F17" s="354"/>
      <c r="G17" s="354">
        <v>2154</v>
      </c>
      <c r="H17" s="354"/>
      <c r="I17" s="354">
        <v>1802</v>
      </c>
      <c r="J17" s="354"/>
      <c r="K17" s="354"/>
      <c r="L17" s="67">
        <v>1598</v>
      </c>
      <c r="M17" s="67"/>
      <c r="N17" s="353">
        <f>1598+M17</f>
        <v>1598</v>
      </c>
      <c r="O17" s="353"/>
      <c r="P17" s="145"/>
      <c r="Q17" s="203">
        <v>1558</v>
      </c>
      <c r="R17" s="355" t="s">
        <v>596</v>
      </c>
      <c r="S17" s="355"/>
      <c r="T17" s="355"/>
      <c r="U17" s="355"/>
      <c r="V17" s="355"/>
    </row>
    <row r="18" spans="1:22" ht="19.5" customHeight="1">
      <c r="A18" s="360" t="s">
        <v>15</v>
      </c>
      <c r="B18" s="360"/>
      <c r="C18" s="360"/>
      <c r="D18" s="360"/>
      <c r="E18" s="354">
        <v>26335</v>
      </c>
      <c r="F18" s="354"/>
      <c r="G18" s="354">
        <v>25834</v>
      </c>
      <c r="H18" s="354"/>
      <c r="I18" s="354">
        <v>21817</v>
      </c>
      <c r="J18" s="354"/>
      <c r="K18" s="354"/>
      <c r="L18" s="67">
        <v>29119</v>
      </c>
      <c r="M18" s="67">
        <f>SUM(M6:M17)</f>
        <v>0</v>
      </c>
      <c r="N18" s="397">
        <f>SUM(N6:O17)</f>
        <v>29119</v>
      </c>
      <c r="O18" s="397"/>
      <c r="P18" s="135">
        <f>SUM(P6:P17)</f>
        <v>0</v>
      </c>
      <c r="Q18" s="203">
        <f>SUM(Q6:Q17)</f>
        <v>28159</v>
      </c>
      <c r="R18" s="355" t="s">
        <v>180</v>
      </c>
      <c r="S18" s="355"/>
      <c r="T18" s="355"/>
      <c r="U18" s="355"/>
      <c r="V18" s="355"/>
    </row>
    <row r="19" spans="1:22" ht="19.5" customHeight="1">
      <c r="A19" s="352" t="s">
        <v>597</v>
      </c>
      <c r="B19" s="352"/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</row>
    <row r="20" spans="1:22" ht="21.75" customHeight="1">
      <c r="A20" s="3" t="s">
        <v>180</v>
      </c>
      <c r="B20" s="353" t="s">
        <v>581</v>
      </c>
      <c r="C20" s="353"/>
      <c r="D20" s="353"/>
      <c r="E20" s="354">
        <v>8258</v>
      </c>
      <c r="F20" s="354"/>
      <c r="G20" s="354">
        <v>8093</v>
      </c>
      <c r="H20" s="354"/>
      <c r="I20" s="354">
        <v>6772</v>
      </c>
      <c r="J20" s="354"/>
      <c r="K20" s="354"/>
      <c r="L20" s="67">
        <v>7864</v>
      </c>
      <c r="M20" s="67"/>
      <c r="N20" s="353">
        <f>7864+M20</f>
        <v>7864</v>
      </c>
      <c r="O20" s="353"/>
      <c r="P20" s="145"/>
      <c r="Q20" s="203">
        <v>7664</v>
      </c>
      <c r="R20" s="355" t="s">
        <v>598</v>
      </c>
      <c r="S20" s="355"/>
      <c r="T20" s="355"/>
      <c r="U20" s="355"/>
      <c r="V20" s="355"/>
    </row>
    <row r="21" spans="1:22" ht="21.75" customHeight="1">
      <c r="A21" s="3" t="s">
        <v>180</v>
      </c>
      <c r="B21" s="353" t="s">
        <v>581</v>
      </c>
      <c r="C21" s="353"/>
      <c r="D21" s="353"/>
      <c r="E21" s="354">
        <v>5358</v>
      </c>
      <c r="F21" s="354"/>
      <c r="G21" s="354">
        <v>5251</v>
      </c>
      <c r="H21" s="354"/>
      <c r="I21" s="354">
        <v>4394</v>
      </c>
      <c r="J21" s="354"/>
      <c r="K21" s="354"/>
      <c r="L21" s="67">
        <v>5259</v>
      </c>
      <c r="M21" s="67"/>
      <c r="N21" s="353">
        <f>5259+M21</f>
        <v>5259</v>
      </c>
      <c r="O21" s="353"/>
      <c r="P21" s="145"/>
      <c r="Q21" s="203">
        <v>5109</v>
      </c>
      <c r="R21" s="355" t="s">
        <v>606</v>
      </c>
      <c r="S21" s="355"/>
      <c r="T21" s="355"/>
      <c r="U21" s="355"/>
      <c r="V21" s="355"/>
    </row>
    <row r="22" spans="1:22" ht="21.75" customHeight="1">
      <c r="A22" s="3" t="s">
        <v>180</v>
      </c>
      <c r="B22" s="353" t="s">
        <v>581</v>
      </c>
      <c r="C22" s="353"/>
      <c r="D22" s="353"/>
      <c r="E22" s="354">
        <v>5205</v>
      </c>
      <c r="F22" s="354"/>
      <c r="G22" s="354">
        <v>5101</v>
      </c>
      <c r="H22" s="354"/>
      <c r="I22" s="354">
        <v>4268</v>
      </c>
      <c r="J22" s="354"/>
      <c r="K22" s="354"/>
      <c r="L22" s="67">
        <v>7167</v>
      </c>
      <c r="M22" s="67"/>
      <c r="N22" s="353">
        <f>7167+M22</f>
        <v>7167</v>
      </c>
      <c r="O22" s="353"/>
      <c r="P22" s="145"/>
      <c r="Q22" s="203">
        <v>6957</v>
      </c>
      <c r="R22" s="355" t="s">
        <v>607</v>
      </c>
      <c r="S22" s="355"/>
      <c r="T22" s="355"/>
      <c r="U22" s="355"/>
      <c r="V22" s="355"/>
    </row>
    <row r="23" spans="1:22" ht="21.75" customHeight="1">
      <c r="A23" s="3" t="s">
        <v>180</v>
      </c>
      <c r="B23" s="353" t="s">
        <v>581</v>
      </c>
      <c r="C23" s="353"/>
      <c r="D23" s="353"/>
      <c r="E23" s="354">
        <v>7143</v>
      </c>
      <c r="F23" s="354"/>
      <c r="G23" s="354">
        <v>7000</v>
      </c>
      <c r="H23" s="354"/>
      <c r="I23" s="354">
        <v>5857</v>
      </c>
      <c r="J23" s="354"/>
      <c r="K23" s="354"/>
      <c r="L23" s="67">
        <v>7017</v>
      </c>
      <c r="M23" s="67"/>
      <c r="N23" s="353">
        <f>7017+M23</f>
        <v>7017</v>
      </c>
      <c r="O23" s="353"/>
      <c r="P23" s="145"/>
      <c r="Q23" s="203">
        <v>6607</v>
      </c>
      <c r="R23" s="355" t="s">
        <v>608</v>
      </c>
      <c r="S23" s="355"/>
      <c r="T23" s="355"/>
      <c r="U23" s="355"/>
      <c r="V23" s="355"/>
    </row>
    <row r="24" spans="1:22" ht="21.75" customHeight="1">
      <c r="A24" s="3" t="s">
        <v>180</v>
      </c>
      <c r="B24" s="353" t="s">
        <v>581</v>
      </c>
      <c r="C24" s="353"/>
      <c r="D24" s="353"/>
      <c r="E24" s="354">
        <v>3574</v>
      </c>
      <c r="F24" s="354"/>
      <c r="G24" s="354">
        <v>3503</v>
      </c>
      <c r="H24" s="354"/>
      <c r="I24" s="354">
        <v>2964</v>
      </c>
      <c r="J24" s="354"/>
      <c r="K24" s="354"/>
      <c r="L24" s="67">
        <v>4118</v>
      </c>
      <c r="M24" s="67"/>
      <c r="N24" s="353">
        <f>4118+M24</f>
        <v>4118</v>
      </c>
      <c r="O24" s="353"/>
      <c r="P24" s="145"/>
      <c r="Q24" s="203">
        <v>3998</v>
      </c>
      <c r="R24" s="355" t="s">
        <v>609</v>
      </c>
      <c r="S24" s="355"/>
      <c r="T24" s="355"/>
      <c r="U24" s="355"/>
      <c r="V24" s="355"/>
    </row>
    <row r="25" spans="1:22" ht="21.75" customHeight="1">
      <c r="A25" s="3" t="s">
        <v>180</v>
      </c>
      <c r="B25" s="353" t="s">
        <v>581</v>
      </c>
      <c r="C25" s="353"/>
      <c r="D25" s="353"/>
      <c r="E25" s="354">
        <v>7734</v>
      </c>
      <c r="F25" s="354"/>
      <c r="G25" s="354">
        <v>7580</v>
      </c>
      <c r="H25" s="354"/>
      <c r="I25" s="354">
        <v>6342</v>
      </c>
      <c r="J25" s="354"/>
      <c r="K25" s="354"/>
      <c r="L25" s="67">
        <v>7997</v>
      </c>
      <c r="M25" s="67"/>
      <c r="N25" s="353">
        <f>7997+M25</f>
        <v>7997</v>
      </c>
      <c r="O25" s="353"/>
      <c r="P25" s="145"/>
      <c r="Q25" s="203">
        <v>7767</v>
      </c>
      <c r="R25" s="355" t="s">
        <v>610</v>
      </c>
      <c r="S25" s="355"/>
      <c r="T25" s="355"/>
      <c r="U25" s="355"/>
      <c r="V25" s="355"/>
    </row>
    <row r="26" spans="1:22" ht="21.75" customHeight="1">
      <c r="A26" s="3" t="s">
        <v>180</v>
      </c>
      <c r="B26" s="353" t="s">
        <v>581</v>
      </c>
      <c r="C26" s="353"/>
      <c r="D26" s="353"/>
      <c r="E26" s="354">
        <v>5711</v>
      </c>
      <c r="F26" s="354"/>
      <c r="G26" s="354">
        <v>4715</v>
      </c>
      <c r="H26" s="354"/>
      <c r="I26" s="354">
        <v>4412</v>
      </c>
      <c r="J26" s="354"/>
      <c r="K26" s="354"/>
      <c r="L26" s="67">
        <v>4328</v>
      </c>
      <c r="M26" s="67"/>
      <c r="N26" s="353">
        <f>4328+M26</f>
        <v>4328</v>
      </c>
      <c r="O26" s="353"/>
      <c r="P26" s="145"/>
      <c r="Q26" s="203">
        <v>4208</v>
      </c>
      <c r="R26" s="355" t="s">
        <v>611</v>
      </c>
      <c r="S26" s="355"/>
      <c r="T26" s="355"/>
      <c r="U26" s="355"/>
      <c r="V26" s="355"/>
    </row>
    <row r="27" spans="1:22" ht="21.75" customHeight="1">
      <c r="A27" s="3" t="s">
        <v>180</v>
      </c>
      <c r="B27" s="353" t="s">
        <v>581</v>
      </c>
      <c r="C27" s="353"/>
      <c r="D27" s="353"/>
      <c r="E27" s="354">
        <v>4250</v>
      </c>
      <c r="F27" s="354"/>
      <c r="G27" s="354">
        <v>4165</v>
      </c>
      <c r="H27" s="354"/>
      <c r="I27" s="354">
        <v>3689</v>
      </c>
      <c r="J27" s="354"/>
      <c r="K27" s="354"/>
      <c r="L27" s="67">
        <v>4590</v>
      </c>
      <c r="M27" s="67"/>
      <c r="N27" s="353">
        <f>4590+M27</f>
        <v>4590</v>
      </c>
      <c r="O27" s="353"/>
      <c r="P27" s="145"/>
      <c r="Q27" s="203">
        <v>4460</v>
      </c>
      <c r="R27" s="355" t="s">
        <v>612</v>
      </c>
      <c r="S27" s="355"/>
      <c r="T27" s="355"/>
      <c r="U27" s="355"/>
      <c r="V27" s="355"/>
    </row>
    <row r="28" spans="1:22" ht="21.75" customHeight="1">
      <c r="A28" s="3" t="s">
        <v>180</v>
      </c>
      <c r="B28" s="353" t="s">
        <v>581</v>
      </c>
      <c r="C28" s="353"/>
      <c r="D28" s="353"/>
      <c r="E28" s="354">
        <v>12990</v>
      </c>
      <c r="F28" s="354"/>
      <c r="G28" s="354">
        <v>12343</v>
      </c>
      <c r="H28" s="354"/>
      <c r="I28" s="354">
        <v>11515</v>
      </c>
      <c r="J28" s="354"/>
      <c r="K28" s="354"/>
      <c r="L28" s="67">
        <v>11983</v>
      </c>
      <c r="M28" s="67"/>
      <c r="N28" s="353">
        <f>11983+M28</f>
        <v>11983</v>
      </c>
      <c r="O28" s="353"/>
      <c r="P28" s="145"/>
      <c r="Q28" s="203">
        <v>11583</v>
      </c>
      <c r="R28" s="355" t="s">
        <v>613</v>
      </c>
      <c r="S28" s="355"/>
      <c r="T28" s="355"/>
      <c r="U28" s="355"/>
      <c r="V28" s="355"/>
    </row>
    <row r="29" spans="1:22" ht="21.75" customHeight="1">
      <c r="A29" s="3" t="s">
        <v>180</v>
      </c>
      <c r="B29" s="353" t="s">
        <v>581</v>
      </c>
      <c r="C29" s="353"/>
      <c r="D29" s="353"/>
      <c r="E29" s="354">
        <v>6624</v>
      </c>
      <c r="F29" s="354"/>
      <c r="G29" s="354">
        <v>6486</v>
      </c>
      <c r="H29" s="354"/>
      <c r="I29" s="354">
        <v>5628</v>
      </c>
      <c r="J29" s="354"/>
      <c r="K29" s="354"/>
      <c r="L29" s="67">
        <v>6043</v>
      </c>
      <c r="M29" s="67"/>
      <c r="N29" s="353">
        <f>6043+M29</f>
        <v>6043</v>
      </c>
      <c r="O29" s="353"/>
      <c r="P29" s="145"/>
      <c r="Q29" s="203">
        <v>5943</v>
      </c>
      <c r="R29" s="355" t="s">
        <v>614</v>
      </c>
      <c r="S29" s="355"/>
      <c r="T29" s="355"/>
      <c r="U29" s="355"/>
      <c r="V29" s="355"/>
    </row>
    <row r="30" spans="1:22" ht="21.75" customHeight="1">
      <c r="A30" s="3" t="s">
        <v>180</v>
      </c>
      <c r="B30" s="353" t="s">
        <v>581</v>
      </c>
      <c r="C30" s="353"/>
      <c r="D30" s="353"/>
      <c r="E30" s="354">
        <v>10486</v>
      </c>
      <c r="F30" s="354"/>
      <c r="G30" s="354">
        <v>10426</v>
      </c>
      <c r="H30" s="354"/>
      <c r="I30" s="354">
        <v>9558</v>
      </c>
      <c r="J30" s="354"/>
      <c r="K30" s="354"/>
      <c r="L30" s="67">
        <v>11799</v>
      </c>
      <c r="M30" s="67"/>
      <c r="N30" s="353">
        <f>11799+M30</f>
        <v>11799</v>
      </c>
      <c r="O30" s="353"/>
      <c r="P30" s="145"/>
      <c r="Q30" s="203">
        <v>11399</v>
      </c>
      <c r="R30" s="355" t="s">
        <v>615</v>
      </c>
      <c r="S30" s="355"/>
      <c r="T30" s="355"/>
      <c r="U30" s="355"/>
      <c r="V30" s="355"/>
    </row>
    <row r="31" spans="1:22" ht="21.75" customHeight="1">
      <c r="A31" s="3" t="s">
        <v>180</v>
      </c>
      <c r="B31" s="353" t="s">
        <v>581</v>
      </c>
      <c r="C31" s="353"/>
      <c r="D31" s="353"/>
      <c r="E31" s="354">
        <v>13776</v>
      </c>
      <c r="F31" s="354"/>
      <c r="G31" s="354">
        <v>12845</v>
      </c>
      <c r="H31" s="354"/>
      <c r="I31" s="354">
        <v>11303</v>
      </c>
      <c r="J31" s="354"/>
      <c r="K31" s="354"/>
      <c r="L31" s="67">
        <v>15073</v>
      </c>
      <c r="M31" s="67"/>
      <c r="N31" s="353">
        <f>15073+M31</f>
        <v>15073</v>
      </c>
      <c r="O31" s="353"/>
      <c r="P31" s="145"/>
      <c r="Q31" s="203">
        <v>14603</v>
      </c>
      <c r="R31" s="355" t="s">
        <v>616</v>
      </c>
      <c r="S31" s="355"/>
      <c r="T31" s="355"/>
      <c r="U31" s="355"/>
      <c r="V31" s="355"/>
    </row>
    <row r="32" spans="1:22" ht="21.75" customHeight="1">
      <c r="A32" s="3" t="s">
        <v>180</v>
      </c>
      <c r="B32" s="353" t="s">
        <v>581</v>
      </c>
      <c r="C32" s="353"/>
      <c r="D32" s="353"/>
      <c r="E32" s="354">
        <v>3755</v>
      </c>
      <c r="F32" s="354"/>
      <c r="G32" s="354">
        <v>3680</v>
      </c>
      <c r="H32" s="354"/>
      <c r="I32" s="354">
        <v>3117</v>
      </c>
      <c r="J32" s="354"/>
      <c r="K32" s="354"/>
      <c r="L32" s="67">
        <v>4450</v>
      </c>
      <c r="M32" s="67"/>
      <c r="N32" s="353">
        <f>4450+M32</f>
        <v>4450</v>
      </c>
      <c r="O32" s="353"/>
      <c r="P32" s="145"/>
      <c r="Q32" s="203">
        <v>4320</v>
      </c>
      <c r="R32" s="355" t="s">
        <v>617</v>
      </c>
      <c r="S32" s="355"/>
      <c r="T32" s="355"/>
      <c r="U32" s="355"/>
      <c r="V32" s="355"/>
    </row>
    <row r="33" spans="1:22" ht="21.75" customHeight="1">
      <c r="A33" s="3" t="s">
        <v>180</v>
      </c>
      <c r="B33" s="353" t="s">
        <v>581</v>
      </c>
      <c r="C33" s="353"/>
      <c r="D33" s="353"/>
      <c r="E33" s="354">
        <v>3470</v>
      </c>
      <c r="F33" s="354"/>
      <c r="G33" s="354">
        <v>3401</v>
      </c>
      <c r="H33" s="354"/>
      <c r="I33" s="354">
        <v>2936</v>
      </c>
      <c r="J33" s="354"/>
      <c r="K33" s="354"/>
      <c r="L33" s="67">
        <v>4095</v>
      </c>
      <c r="M33" s="67"/>
      <c r="N33" s="353">
        <f>4095+M33</f>
        <v>4095</v>
      </c>
      <c r="O33" s="353"/>
      <c r="P33" s="145"/>
      <c r="Q33" s="203">
        <v>3975</v>
      </c>
      <c r="R33" s="355" t="s">
        <v>618</v>
      </c>
      <c r="S33" s="355"/>
      <c r="T33" s="355"/>
      <c r="U33" s="355"/>
      <c r="V33" s="355"/>
    </row>
    <row r="34" spans="1:22" ht="21.75" customHeight="1">
      <c r="A34" s="3" t="s">
        <v>180</v>
      </c>
      <c r="B34" s="353" t="s">
        <v>581</v>
      </c>
      <c r="C34" s="353"/>
      <c r="D34" s="353"/>
      <c r="E34" s="354">
        <v>3652</v>
      </c>
      <c r="F34" s="354"/>
      <c r="G34" s="354">
        <v>3866</v>
      </c>
      <c r="H34" s="354"/>
      <c r="I34" s="354">
        <v>3249</v>
      </c>
      <c r="J34" s="354"/>
      <c r="K34" s="354"/>
      <c r="L34" s="67">
        <v>4000</v>
      </c>
      <c r="M34" s="67"/>
      <c r="N34" s="353">
        <f>4000+M34</f>
        <v>4000</v>
      </c>
      <c r="O34" s="353"/>
      <c r="P34" s="145"/>
      <c r="Q34" s="203">
        <v>3680</v>
      </c>
      <c r="R34" s="355" t="s">
        <v>619</v>
      </c>
      <c r="S34" s="355"/>
      <c r="T34" s="355"/>
      <c r="U34" s="355"/>
      <c r="V34" s="355"/>
    </row>
    <row r="35" spans="1:22" ht="21.75" customHeight="1">
      <c r="A35" s="3" t="s">
        <v>180</v>
      </c>
      <c r="B35" s="353" t="s">
        <v>581</v>
      </c>
      <c r="C35" s="353"/>
      <c r="D35" s="353"/>
      <c r="E35" s="354">
        <v>6330</v>
      </c>
      <c r="F35" s="354"/>
      <c r="G35" s="354">
        <v>6204</v>
      </c>
      <c r="H35" s="354"/>
      <c r="I35" s="354">
        <v>5871</v>
      </c>
      <c r="J35" s="354"/>
      <c r="K35" s="354"/>
      <c r="L35" s="67">
        <v>5730</v>
      </c>
      <c r="M35" s="67"/>
      <c r="N35" s="353">
        <f>5730+M35</f>
        <v>5730</v>
      </c>
      <c r="O35" s="353"/>
      <c r="P35" s="145"/>
      <c r="Q35" s="203">
        <v>5560</v>
      </c>
      <c r="R35" s="355" t="s">
        <v>620</v>
      </c>
      <c r="S35" s="355"/>
      <c r="T35" s="355"/>
      <c r="U35" s="355"/>
      <c r="V35" s="355"/>
    </row>
    <row r="36" spans="1:22" ht="21.75" customHeight="1">
      <c r="A36" s="3" t="s">
        <v>180</v>
      </c>
      <c r="B36" s="353" t="s">
        <v>581</v>
      </c>
      <c r="C36" s="353"/>
      <c r="D36" s="353"/>
      <c r="E36" s="354">
        <v>6417</v>
      </c>
      <c r="F36" s="354"/>
      <c r="G36" s="354">
        <v>6289</v>
      </c>
      <c r="H36" s="354"/>
      <c r="I36" s="354">
        <v>5637</v>
      </c>
      <c r="J36" s="354"/>
      <c r="K36" s="354"/>
      <c r="L36" s="67">
        <v>6308</v>
      </c>
      <c r="M36" s="67"/>
      <c r="N36" s="353">
        <f>6308+M36</f>
        <v>6308</v>
      </c>
      <c r="O36" s="353"/>
      <c r="P36" s="145"/>
      <c r="Q36" s="203">
        <v>6128</v>
      </c>
      <c r="R36" s="355" t="s">
        <v>621</v>
      </c>
      <c r="S36" s="355"/>
      <c r="T36" s="355"/>
      <c r="U36" s="355"/>
      <c r="V36" s="355"/>
    </row>
    <row r="37" spans="1:22" ht="21.75" customHeight="1">
      <c r="A37" s="3" t="s">
        <v>180</v>
      </c>
      <c r="B37" s="353" t="s">
        <v>581</v>
      </c>
      <c r="C37" s="353"/>
      <c r="D37" s="353"/>
      <c r="E37" s="354">
        <v>6095</v>
      </c>
      <c r="F37" s="354"/>
      <c r="G37" s="354">
        <v>5973</v>
      </c>
      <c r="H37" s="354"/>
      <c r="I37" s="354">
        <v>4998</v>
      </c>
      <c r="J37" s="354"/>
      <c r="K37" s="354"/>
      <c r="L37" s="67">
        <v>5461</v>
      </c>
      <c r="M37" s="67"/>
      <c r="N37" s="353">
        <f>5461+M37</f>
        <v>5461</v>
      </c>
      <c r="O37" s="353"/>
      <c r="P37" s="145"/>
      <c r="Q37" s="203">
        <v>5301</v>
      </c>
      <c r="R37" s="355" t="s">
        <v>622</v>
      </c>
      <c r="S37" s="355"/>
      <c r="T37" s="355"/>
      <c r="U37" s="355"/>
      <c r="V37" s="355"/>
    </row>
    <row r="38" spans="1:22" ht="19.5" customHeight="1">
      <c r="A38" s="360" t="s">
        <v>623</v>
      </c>
      <c r="B38" s="360"/>
      <c r="C38" s="360"/>
      <c r="D38" s="360"/>
      <c r="E38" s="354">
        <v>120828</v>
      </c>
      <c r="F38" s="354"/>
      <c r="G38" s="354">
        <v>116920</v>
      </c>
      <c r="H38" s="354"/>
      <c r="I38" s="354">
        <v>102510</v>
      </c>
      <c r="J38" s="354"/>
      <c r="K38" s="354"/>
      <c r="L38" s="67">
        <v>123282</v>
      </c>
      <c r="M38" s="67">
        <f>SUM(M20:M37)</f>
        <v>0</v>
      </c>
      <c r="N38" s="397">
        <f>SUM(N20:O37)</f>
        <v>123282</v>
      </c>
      <c r="O38" s="397"/>
      <c r="P38" s="135">
        <f>SUM(P20:P37)</f>
        <v>0</v>
      </c>
      <c r="Q38" s="203">
        <f>SUM(Q20:Q37)</f>
        <v>119262</v>
      </c>
      <c r="R38" s="355" t="s">
        <v>180</v>
      </c>
      <c r="S38" s="355"/>
      <c r="T38" s="355"/>
      <c r="U38" s="355"/>
      <c r="V38" s="355"/>
    </row>
    <row r="39" spans="1:22" ht="19.5" customHeight="1">
      <c r="A39" s="352" t="s">
        <v>624</v>
      </c>
      <c r="B39" s="352"/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</row>
    <row r="40" spans="1:22" ht="21.75" customHeight="1">
      <c r="A40" s="3" t="s">
        <v>180</v>
      </c>
      <c r="B40" s="353" t="s">
        <v>581</v>
      </c>
      <c r="C40" s="353"/>
      <c r="D40" s="353"/>
      <c r="E40" s="354" t="s">
        <v>625</v>
      </c>
      <c r="F40" s="354"/>
      <c r="G40" s="354" t="s">
        <v>148</v>
      </c>
      <c r="H40" s="354"/>
      <c r="I40" s="354" t="s">
        <v>626</v>
      </c>
      <c r="J40" s="354"/>
      <c r="K40" s="354"/>
      <c r="L40" s="67" t="s">
        <v>147</v>
      </c>
      <c r="M40" s="67"/>
      <c r="N40" s="353">
        <f>L40+M40</f>
        <v>800</v>
      </c>
      <c r="O40" s="353"/>
      <c r="P40" s="145"/>
      <c r="Q40" s="204">
        <v>780</v>
      </c>
      <c r="R40" s="355" t="s">
        <v>627</v>
      </c>
      <c r="S40" s="355"/>
      <c r="T40" s="355"/>
      <c r="U40" s="355"/>
      <c r="V40" s="355"/>
    </row>
    <row r="41" spans="1:22" ht="19.5" customHeight="1">
      <c r="A41" s="360" t="s">
        <v>628</v>
      </c>
      <c r="B41" s="360"/>
      <c r="C41" s="360"/>
      <c r="D41" s="360"/>
      <c r="E41" s="354" t="s">
        <v>625</v>
      </c>
      <c r="F41" s="354"/>
      <c r="G41" s="354" t="s">
        <v>148</v>
      </c>
      <c r="H41" s="354"/>
      <c r="I41" s="354" t="s">
        <v>626</v>
      </c>
      <c r="J41" s="354"/>
      <c r="K41" s="354"/>
      <c r="L41" s="67" t="s">
        <v>147</v>
      </c>
      <c r="M41" s="67">
        <f>M40</f>
        <v>0</v>
      </c>
      <c r="N41" s="353">
        <f>N40</f>
        <v>800</v>
      </c>
      <c r="O41" s="353"/>
      <c r="P41" s="145">
        <f>P40</f>
        <v>0</v>
      </c>
      <c r="Q41" s="204">
        <v>780</v>
      </c>
      <c r="R41" s="355" t="s">
        <v>180</v>
      </c>
      <c r="S41" s="355"/>
      <c r="T41" s="355"/>
      <c r="U41" s="355"/>
      <c r="V41" s="355"/>
    </row>
    <row r="42" spans="1:22" ht="30" customHeight="1">
      <c r="A42" s="345" t="s">
        <v>629</v>
      </c>
      <c r="B42" s="345"/>
      <c r="C42" s="345"/>
      <c r="D42" s="345"/>
      <c r="E42" s="373">
        <v>147959</v>
      </c>
      <c r="F42" s="373"/>
      <c r="G42" s="373">
        <v>143534</v>
      </c>
      <c r="H42" s="373"/>
      <c r="I42" s="373">
        <v>125039</v>
      </c>
      <c r="J42" s="373"/>
      <c r="K42" s="373"/>
      <c r="L42" s="70">
        <v>153201</v>
      </c>
      <c r="M42" s="70">
        <f>M41+M38+M18</f>
        <v>0</v>
      </c>
      <c r="N42" s="398">
        <f>N41+N38+N18</f>
        <v>153201</v>
      </c>
      <c r="O42" s="399"/>
      <c r="P42" s="146">
        <f>P41+P38+P18</f>
        <v>0</v>
      </c>
      <c r="Q42" s="208">
        <f>Q41+Q38+Q18</f>
        <v>148201</v>
      </c>
      <c r="R42" s="348" t="s">
        <v>180</v>
      </c>
      <c r="S42" s="348"/>
      <c r="T42" s="348"/>
      <c r="U42" s="348"/>
      <c r="V42" s="348"/>
    </row>
    <row r="43" spans="1:22" ht="12.75">
      <c r="A43" s="2"/>
      <c r="B43" s="2"/>
      <c r="C43" s="2"/>
      <c r="D43" s="2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2"/>
      <c r="P43" s="2"/>
      <c r="Q43" s="2"/>
      <c r="R43" s="2"/>
      <c r="S43" s="2"/>
      <c r="T43" s="2"/>
      <c r="U43" s="2"/>
      <c r="V43" s="2"/>
    </row>
    <row r="44" spans="1:22" ht="12.75">
      <c r="A44" s="2"/>
      <c r="B44" s="2"/>
      <c r="C44" s="2"/>
      <c r="D44" s="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2"/>
      <c r="P44" s="2"/>
      <c r="Q44" s="2"/>
      <c r="R44" s="2"/>
      <c r="S44" s="2"/>
      <c r="T44" s="2"/>
      <c r="U44" s="2"/>
      <c r="V44" s="2"/>
    </row>
    <row r="45" spans="1:22" ht="12.75">
      <c r="A45" s="2"/>
      <c r="B45" s="2"/>
      <c r="C45" s="2"/>
      <c r="D45" s="2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2"/>
      <c r="P45" s="2"/>
      <c r="Q45" s="2"/>
      <c r="R45" s="2"/>
      <c r="S45" s="2"/>
      <c r="T45" s="2"/>
      <c r="U45" s="2"/>
      <c r="V45" s="2"/>
    </row>
    <row r="46" spans="1:22" ht="12.75">
      <c r="A46" s="2"/>
      <c r="B46" s="2"/>
      <c r="C46" s="2"/>
      <c r="D46" s="2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2"/>
      <c r="P46" s="2"/>
      <c r="Q46" s="2"/>
      <c r="R46" s="2"/>
      <c r="S46" s="2"/>
      <c r="T46" s="2"/>
      <c r="U46" s="2"/>
      <c r="V46" s="2"/>
    </row>
    <row r="47" spans="1:22" ht="12.75">
      <c r="A47" s="2"/>
      <c r="B47" s="2"/>
      <c r="C47" s="2"/>
      <c r="D47" s="2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2"/>
      <c r="P47" s="2"/>
      <c r="Q47" s="2"/>
      <c r="R47" s="2"/>
      <c r="S47" s="2"/>
      <c r="T47" s="2"/>
      <c r="U47" s="2"/>
      <c r="V47" s="2"/>
    </row>
    <row r="48" spans="1:22" ht="12.75">
      <c r="A48" s="2"/>
      <c r="B48" s="2"/>
      <c r="C48" s="2"/>
      <c r="D48" s="2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2"/>
      <c r="P48" s="2"/>
      <c r="Q48" s="2"/>
      <c r="R48" s="2"/>
      <c r="S48" s="2"/>
      <c r="T48" s="2"/>
      <c r="U48" s="2"/>
      <c r="V48" s="2"/>
    </row>
    <row r="49" spans="1:22" ht="12.75">
      <c r="A49" s="2"/>
      <c r="B49" s="2"/>
      <c r="C49" s="2"/>
      <c r="D49" s="2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"/>
      <c r="P49" s="2"/>
      <c r="Q49" s="2"/>
      <c r="R49" s="2"/>
      <c r="S49" s="2"/>
      <c r="T49" s="2"/>
      <c r="U49" s="2"/>
      <c r="V49" s="2"/>
    </row>
    <row r="50" spans="1:22" ht="12.75">
      <c r="A50" s="2"/>
      <c r="B50" s="2"/>
      <c r="C50" s="2"/>
      <c r="D50" s="2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2"/>
      <c r="P50" s="2"/>
      <c r="Q50" s="2"/>
      <c r="R50" s="2"/>
      <c r="S50" s="2"/>
      <c r="T50" s="2"/>
      <c r="U50" s="2"/>
      <c r="V50" s="2"/>
    </row>
    <row r="51" spans="1:22" ht="12.75">
      <c r="A51" s="2"/>
      <c r="B51" s="2"/>
      <c r="C51" s="2"/>
      <c r="D51" s="2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2"/>
      <c r="P51" s="2"/>
      <c r="Q51" s="2"/>
      <c r="R51" s="2"/>
      <c r="S51" s="2"/>
      <c r="T51" s="2"/>
      <c r="U51" s="2"/>
      <c r="V51" s="2"/>
    </row>
    <row r="52" spans="1:22" ht="12.75">
      <c r="A52" s="2"/>
      <c r="B52" s="2"/>
      <c r="C52" s="2"/>
      <c r="D52" s="2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2"/>
      <c r="P52" s="2"/>
      <c r="Q52" s="2"/>
      <c r="R52" s="2"/>
      <c r="S52" s="2"/>
      <c r="T52" s="2"/>
      <c r="U52" s="2"/>
      <c r="V52" s="2"/>
    </row>
    <row r="53" spans="1:22" ht="12.75">
      <c r="A53" s="2"/>
      <c r="B53" s="2"/>
      <c r="C53" s="2"/>
      <c r="D53" s="2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2"/>
      <c r="P53" s="2"/>
      <c r="Q53" s="2"/>
      <c r="R53" s="2"/>
      <c r="S53" s="2"/>
      <c r="T53" s="2"/>
      <c r="U53" s="2"/>
      <c r="V53" s="2"/>
    </row>
    <row r="54" spans="1:22" ht="12.75">
      <c r="A54" s="2"/>
      <c r="B54" s="2"/>
      <c r="C54" s="2"/>
      <c r="D54" s="2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2"/>
      <c r="P54" s="2"/>
      <c r="Q54" s="2"/>
      <c r="R54" s="2"/>
      <c r="S54" s="2"/>
      <c r="T54" s="2"/>
      <c r="U54" s="2"/>
      <c r="V54" s="2"/>
    </row>
    <row r="55" spans="1:22" ht="12.75">
      <c r="A55" s="2"/>
      <c r="B55" s="2"/>
      <c r="C55" s="2"/>
      <c r="D55" s="2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2"/>
      <c r="P55" s="2"/>
      <c r="Q55" s="2"/>
      <c r="R55" s="2"/>
      <c r="S55" s="2"/>
      <c r="T55" s="2"/>
      <c r="U55" s="2"/>
      <c r="V55" s="2"/>
    </row>
    <row r="56" spans="1:22" ht="12.75">
      <c r="A56" s="2"/>
      <c r="B56" s="2"/>
      <c r="C56" s="2"/>
      <c r="D56" s="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2"/>
      <c r="P56" s="2"/>
      <c r="Q56" s="2"/>
      <c r="R56" s="2"/>
      <c r="S56" s="2"/>
      <c r="T56" s="2"/>
      <c r="U56" s="2"/>
      <c r="V56" s="2"/>
    </row>
    <row r="57" spans="1:22" ht="12.75">
      <c r="A57" s="2"/>
      <c r="B57" s="2"/>
      <c r="C57" s="2"/>
      <c r="D57" s="2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2"/>
      <c r="P57" s="2"/>
      <c r="Q57" s="2"/>
      <c r="R57" s="2"/>
      <c r="S57" s="2"/>
      <c r="T57" s="2"/>
      <c r="U57" s="2"/>
      <c r="V57" s="2"/>
    </row>
    <row r="58" spans="1:22" ht="12.75">
      <c r="A58" s="2"/>
      <c r="B58" s="2"/>
      <c r="C58" s="2"/>
      <c r="D58" s="2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2"/>
      <c r="P58" s="2"/>
      <c r="Q58" s="2"/>
      <c r="R58" s="2"/>
      <c r="S58" s="2"/>
      <c r="T58" s="2"/>
      <c r="U58" s="2"/>
      <c r="V58" s="2"/>
    </row>
    <row r="59" spans="1:22" ht="12.75">
      <c r="A59" s="2"/>
      <c r="B59" s="2"/>
      <c r="C59" s="2"/>
      <c r="D59" s="2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2"/>
      <c r="P59" s="2"/>
      <c r="Q59" s="2"/>
      <c r="R59" s="2"/>
      <c r="S59" s="2"/>
      <c r="T59" s="2"/>
      <c r="U59" s="2"/>
      <c r="V59" s="2"/>
    </row>
    <row r="60" spans="1:22" ht="12.75">
      <c r="A60" s="2"/>
      <c r="B60" s="2"/>
      <c r="C60" s="2"/>
      <c r="D60" s="2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2"/>
      <c r="P60" s="2"/>
      <c r="Q60" s="2"/>
      <c r="R60" s="2"/>
      <c r="S60" s="2"/>
      <c r="T60" s="2"/>
      <c r="U60" s="2"/>
      <c r="V60" s="2"/>
    </row>
    <row r="61" spans="1:22" ht="12.75">
      <c r="A61" s="2"/>
      <c r="B61" s="2"/>
      <c r="C61" s="2"/>
      <c r="D61" s="2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2"/>
      <c r="P61" s="2"/>
      <c r="Q61" s="2"/>
      <c r="R61" s="2"/>
      <c r="S61" s="2"/>
      <c r="T61" s="2"/>
      <c r="U61" s="2"/>
      <c r="V61" s="2"/>
    </row>
    <row r="62" spans="1:22" ht="12.75">
      <c r="A62" s="2"/>
      <c r="B62" s="2"/>
      <c r="C62" s="2"/>
      <c r="D62" s="2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2"/>
      <c r="P62" s="2"/>
      <c r="Q62" s="2"/>
      <c r="R62" s="2"/>
      <c r="S62" s="2"/>
      <c r="T62" s="2"/>
      <c r="U62" s="2"/>
      <c r="V62" s="2"/>
    </row>
    <row r="63" spans="1:22" ht="12.75">
      <c r="A63" s="2"/>
      <c r="B63" s="2"/>
      <c r="C63" s="2"/>
      <c r="D63" s="2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2"/>
      <c r="P63" s="2"/>
      <c r="Q63" s="2"/>
      <c r="R63" s="2"/>
      <c r="S63" s="2"/>
      <c r="T63" s="2"/>
      <c r="U63" s="2"/>
      <c r="V63" s="2"/>
    </row>
    <row r="64" spans="1:22" ht="12.75">
      <c r="A64" s="2"/>
      <c r="B64" s="2"/>
      <c r="C64" s="2"/>
      <c r="D64" s="2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2"/>
      <c r="P64" s="2"/>
      <c r="Q64" s="2"/>
      <c r="R64" s="2"/>
      <c r="S64" s="2"/>
      <c r="T64" s="2"/>
      <c r="U64" s="2"/>
      <c r="V64" s="2"/>
    </row>
    <row r="65" spans="1:22" ht="12.75">
      <c r="A65" s="2"/>
      <c r="B65" s="2"/>
      <c r="C65" s="2"/>
      <c r="D65" s="2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2"/>
      <c r="P65" s="2"/>
      <c r="Q65" s="2"/>
      <c r="R65" s="2"/>
      <c r="S65" s="2"/>
      <c r="T65" s="2"/>
      <c r="U65" s="2"/>
      <c r="V65" s="2"/>
    </row>
    <row r="66" spans="1:22" ht="12.75">
      <c r="A66" s="2"/>
      <c r="B66" s="2"/>
      <c r="C66" s="2"/>
      <c r="D66" s="2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2"/>
      <c r="P66" s="2"/>
      <c r="Q66" s="2"/>
      <c r="R66" s="2"/>
      <c r="S66" s="2"/>
      <c r="T66" s="2"/>
      <c r="U66" s="2"/>
      <c r="V66" s="2"/>
    </row>
    <row r="67" spans="1:22" ht="12.75">
      <c r="A67" s="2"/>
      <c r="B67" s="2"/>
      <c r="C67" s="2"/>
      <c r="D67" s="2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2"/>
      <c r="P67" s="2"/>
      <c r="Q67" s="2"/>
      <c r="R67" s="2"/>
      <c r="S67" s="2"/>
      <c r="T67" s="2"/>
      <c r="U67" s="2"/>
      <c r="V67" s="2"/>
    </row>
    <row r="68" spans="1:22" ht="12.75">
      <c r="A68" s="2"/>
      <c r="B68" s="2"/>
      <c r="C68" s="2"/>
      <c r="D68" s="2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2"/>
      <c r="P68" s="2"/>
      <c r="Q68" s="2"/>
      <c r="R68" s="2"/>
      <c r="S68" s="2"/>
      <c r="T68" s="2"/>
      <c r="U68" s="2"/>
      <c r="V68" s="2"/>
    </row>
    <row r="69" spans="1:22" ht="12.75">
      <c r="A69" s="2"/>
      <c r="B69" s="2"/>
      <c r="C69" s="2"/>
      <c r="D69" s="2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2"/>
      <c r="P69" s="2"/>
      <c r="Q69" s="2"/>
      <c r="R69" s="2"/>
      <c r="S69" s="2"/>
      <c r="T69" s="2"/>
      <c r="U69" s="2"/>
      <c r="V69" s="2"/>
    </row>
    <row r="70" spans="1:22" ht="12.75">
      <c r="A70" s="2"/>
      <c r="B70" s="2"/>
      <c r="C70" s="2"/>
      <c r="D70" s="2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2"/>
      <c r="P70" s="2"/>
      <c r="Q70" s="2"/>
      <c r="R70" s="2"/>
      <c r="S70" s="2"/>
      <c r="T70" s="2"/>
      <c r="U70" s="2"/>
      <c r="V70" s="2"/>
    </row>
    <row r="71" spans="1:22" ht="12.75">
      <c r="A71" s="2"/>
      <c r="B71" s="2"/>
      <c r="C71" s="2"/>
      <c r="D71" s="2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2"/>
      <c r="P71" s="2"/>
      <c r="Q71" s="2"/>
      <c r="R71" s="2"/>
      <c r="S71" s="2"/>
      <c r="T71" s="2"/>
      <c r="U71" s="2"/>
      <c r="V71" s="2"/>
    </row>
    <row r="72" spans="1:22" ht="12.75">
      <c r="A72" s="2"/>
      <c r="B72" s="2"/>
      <c r="C72" s="2"/>
      <c r="D72" s="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2"/>
      <c r="P72" s="2"/>
      <c r="Q72" s="2"/>
      <c r="R72" s="2"/>
      <c r="S72" s="2"/>
      <c r="T72" s="2"/>
      <c r="U72" s="2"/>
      <c r="V72" s="2"/>
    </row>
    <row r="73" spans="1:22" ht="12.75">
      <c r="A73" s="2"/>
      <c r="B73" s="2"/>
      <c r="C73" s="2"/>
      <c r="D73" s="2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2"/>
      <c r="P73" s="2"/>
      <c r="Q73" s="2"/>
      <c r="R73" s="2"/>
      <c r="S73" s="2"/>
      <c r="T73" s="2"/>
      <c r="U73" s="2"/>
      <c r="V73" s="2"/>
    </row>
    <row r="74" spans="1:22" ht="12.75">
      <c r="A74" s="2"/>
      <c r="B74" s="2"/>
      <c r="C74" s="2"/>
      <c r="D74" s="2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2"/>
      <c r="P74" s="2"/>
      <c r="Q74" s="2"/>
      <c r="R74" s="2"/>
      <c r="S74" s="2"/>
      <c r="T74" s="2"/>
      <c r="U74" s="2"/>
      <c r="V74" s="2"/>
    </row>
    <row r="75" spans="1:22" ht="12.75">
      <c r="A75" s="2"/>
      <c r="B75" s="2"/>
      <c r="C75" s="2"/>
      <c r="D75" s="2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2"/>
      <c r="P75" s="2"/>
      <c r="Q75" s="2"/>
      <c r="R75" s="2"/>
      <c r="S75" s="2"/>
      <c r="T75" s="2"/>
      <c r="U75" s="2"/>
      <c r="V75" s="2"/>
    </row>
    <row r="76" spans="1:22" ht="12.75">
      <c r="A76" s="2"/>
      <c r="B76" s="2"/>
      <c r="C76" s="2"/>
      <c r="D76" s="2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2"/>
      <c r="P76" s="2"/>
      <c r="Q76" s="2"/>
      <c r="R76" s="2"/>
      <c r="S76" s="2"/>
      <c r="T76" s="2"/>
      <c r="U76" s="2"/>
      <c r="V76" s="2"/>
    </row>
    <row r="77" spans="1:22" ht="12.75">
      <c r="A77" s="2"/>
      <c r="B77" s="2"/>
      <c r="C77" s="2"/>
      <c r="D77" s="2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2"/>
      <c r="P77" s="2"/>
      <c r="Q77" s="2"/>
      <c r="R77" s="2"/>
      <c r="S77" s="2"/>
      <c r="T77" s="2"/>
      <c r="U77" s="2"/>
      <c r="V77" s="2"/>
    </row>
    <row r="78" spans="1:22" ht="12.75">
      <c r="A78" s="2"/>
      <c r="B78" s="2"/>
      <c r="C78" s="2"/>
      <c r="D78" s="2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2"/>
      <c r="P78" s="2"/>
      <c r="Q78" s="2"/>
      <c r="R78" s="2"/>
      <c r="S78" s="2"/>
      <c r="T78" s="2"/>
      <c r="U78" s="2"/>
      <c r="V78" s="2"/>
    </row>
    <row r="79" spans="1:22" ht="12.75">
      <c r="A79" s="2"/>
      <c r="B79" s="2"/>
      <c r="C79" s="2"/>
      <c r="D79" s="2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2"/>
      <c r="P79" s="2"/>
      <c r="Q79" s="2"/>
      <c r="R79" s="2"/>
      <c r="S79" s="2"/>
      <c r="T79" s="2"/>
      <c r="U79" s="2"/>
      <c r="V79" s="2"/>
    </row>
    <row r="80" spans="1:22" ht="12.75">
      <c r="A80" s="2"/>
      <c r="B80" s="2"/>
      <c r="C80" s="2"/>
      <c r="D80" s="2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2"/>
      <c r="P80" s="2"/>
      <c r="Q80" s="2"/>
      <c r="R80" s="2"/>
      <c r="S80" s="2"/>
      <c r="T80" s="2"/>
      <c r="U80" s="2"/>
      <c r="V80" s="2"/>
    </row>
    <row r="81" spans="1:22" ht="12.75">
      <c r="A81" s="2"/>
      <c r="B81" s="2"/>
      <c r="C81" s="2"/>
      <c r="D81" s="2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2"/>
      <c r="P81" s="2"/>
      <c r="Q81" s="2"/>
      <c r="R81" s="2"/>
      <c r="S81" s="2"/>
      <c r="T81" s="2"/>
      <c r="U81" s="2"/>
      <c r="V81" s="2"/>
    </row>
    <row r="82" spans="1:22" ht="12.75">
      <c r="A82" s="2"/>
      <c r="B82" s="2"/>
      <c r="C82" s="2"/>
      <c r="D82" s="2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2"/>
      <c r="P82" s="2"/>
      <c r="Q82" s="2"/>
      <c r="R82" s="2"/>
      <c r="S82" s="2"/>
      <c r="T82" s="2"/>
      <c r="U82" s="2"/>
      <c r="V82" s="2"/>
    </row>
    <row r="83" spans="1:22" ht="12.75">
      <c r="A83" s="2"/>
      <c r="B83" s="2"/>
      <c r="C83" s="2"/>
      <c r="D83" s="2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2"/>
      <c r="P83" s="2"/>
      <c r="Q83" s="2"/>
      <c r="R83" s="2"/>
      <c r="S83" s="2"/>
      <c r="T83" s="2"/>
      <c r="U83" s="2"/>
      <c r="V83" s="2"/>
    </row>
    <row r="84" spans="1:22" ht="12.75">
      <c r="A84" s="2"/>
      <c r="B84" s="2"/>
      <c r="C84" s="2"/>
      <c r="D84" s="2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2"/>
      <c r="P84" s="2"/>
      <c r="Q84" s="2"/>
      <c r="R84" s="2"/>
      <c r="S84" s="2"/>
      <c r="T84" s="2"/>
      <c r="U84" s="2"/>
      <c r="V84" s="2"/>
    </row>
    <row r="85" spans="1:22" ht="12.75">
      <c r="A85" s="2"/>
      <c r="B85" s="2"/>
      <c r="C85" s="2"/>
      <c r="D85" s="2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2"/>
      <c r="P85" s="2"/>
      <c r="Q85" s="2"/>
      <c r="R85" s="2"/>
      <c r="S85" s="2"/>
      <c r="T85" s="2"/>
      <c r="U85" s="2"/>
      <c r="V85" s="2"/>
    </row>
    <row r="86" spans="1:22" ht="12.75">
      <c r="A86" s="2"/>
      <c r="B86" s="2"/>
      <c r="C86" s="2"/>
      <c r="D86" s="2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2"/>
      <c r="P86" s="2"/>
      <c r="Q86" s="2"/>
      <c r="R86" s="2"/>
      <c r="S86" s="2"/>
      <c r="T86" s="2"/>
      <c r="U86" s="2"/>
      <c r="V86" s="2"/>
    </row>
    <row r="87" spans="1:22" ht="12.75">
      <c r="A87" s="2"/>
      <c r="B87" s="2"/>
      <c r="C87" s="2"/>
      <c r="D87" s="2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2"/>
      <c r="P87" s="2"/>
      <c r="Q87" s="2"/>
      <c r="R87" s="2"/>
      <c r="S87" s="2"/>
      <c r="T87" s="2"/>
      <c r="U87" s="2"/>
      <c r="V87" s="2"/>
    </row>
    <row r="88" spans="1:22" ht="12.75">
      <c r="A88" s="2"/>
      <c r="B88" s="2"/>
      <c r="C88" s="2"/>
      <c r="D88" s="2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2"/>
      <c r="P88" s="2"/>
      <c r="Q88" s="2"/>
      <c r="R88" s="2"/>
      <c r="S88" s="2"/>
      <c r="T88" s="2"/>
      <c r="U88" s="2"/>
      <c r="V88" s="2"/>
    </row>
    <row r="89" spans="1:22" ht="12.75">
      <c r="A89" s="2"/>
      <c r="B89" s="2"/>
      <c r="C89" s="2"/>
      <c r="D89" s="2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2"/>
      <c r="P89" s="2"/>
      <c r="Q89" s="2"/>
      <c r="R89" s="2"/>
      <c r="S89" s="2"/>
      <c r="T89" s="2"/>
      <c r="U89" s="2"/>
      <c r="V89" s="2"/>
    </row>
    <row r="90" spans="1:22" ht="12.75">
      <c r="A90" s="2"/>
      <c r="B90" s="2"/>
      <c r="C90" s="2"/>
      <c r="D90" s="2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2"/>
      <c r="P90" s="2"/>
      <c r="Q90" s="2"/>
      <c r="R90" s="2"/>
      <c r="S90" s="2"/>
      <c r="T90" s="2"/>
      <c r="U90" s="2"/>
      <c r="V90" s="2"/>
    </row>
    <row r="91" spans="1:22" ht="12.75">
      <c r="A91" s="2"/>
      <c r="B91" s="2"/>
      <c r="C91" s="2"/>
      <c r="D91" s="2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2"/>
      <c r="P91" s="2"/>
      <c r="Q91" s="2"/>
      <c r="R91" s="2"/>
      <c r="S91" s="2"/>
      <c r="T91" s="2"/>
      <c r="U91" s="2"/>
      <c r="V91" s="2"/>
    </row>
    <row r="92" spans="1:22" ht="12.75">
      <c r="A92" s="2"/>
      <c r="B92" s="2"/>
      <c r="C92" s="2"/>
      <c r="D92" s="2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2"/>
      <c r="P92" s="2"/>
      <c r="Q92" s="2"/>
      <c r="R92" s="2"/>
      <c r="S92" s="2"/>
      <c r="T92" s="2"/>
      <c r="U92" s="2"/>
      <c r="V92" s="2"/>
    </row>
    <row r="93" spans="1:22" ht="12.75">
      <c r="A93" s="2"/>
      <c r="B93" s="2"/>
      <c r="C93" s="2"/>
      <c r="D93" s="2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2"/>
      <c r="P93" s="2"/>
      <c r="Q93" s="2"/>
      <c r="R93" s="2"/>
      <c r="S93" s="2"/>
      <c r="T93" s="2"/>
      <c r="U93" s="2"/>
      <c r="V93" s="2"/>
    </row>
    <row r="94" spans="1:22" ht="12.75">
      <c r="A94" s="2"/>
      <c r="B94" s="2"/>
      <c r="C94" s="2"/>
      <c r="D94" s="2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2"/>
      <c r="P94" s="2"/>
      <c r="Q94" s="2"/>
      <c r="R94" s="2"/>
      <c r="S94" s="2"/>
      <c r="T94" s="2"/>
      <c r="U94" s="2"/>
      <c r="V94" s="2"/>
    </row>
    <row r="95" spans="1:22" ht="12.75">
      <c r="A95" s="2"/>
      <c r="B95" s="2"/>
      <c r="C95" s="2"/>
      <c r="D95" s="2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2"/>
      <c r="P95" s="2"/>
      <c r="Q95" s="2"/>
      <c r="R95" s="2"/>
      <c r="S95" s="2"/>
      <c r="T95" s="2"/>
      <c r="U95" s="2"/>
      <c r="V95" s="2"/>
    </row>
    <row r="96" spans="1:22" ht="12.75">
      <c r="A96" s="2"/>
      <c r="B96" s="2"/>
      <c r="C96" s="2"/>
      <c r="D96" s="2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2"/>
      <c r="P96" s="2"/>
      <c r="Q96" s="2"/>
      <c r="R96" s="2"/>
      <c r="S96" s="2"/>
      <c r="T96" s="2"/>
      <c r="U96" s="2"/>
      <c r="V96" s="2"/>
    </row>
    <row r="97" spans="1:22" ht="12.75">
      <c r="A97" s="2"/>
      <c r="B97" s="2"/>
      <c r="C97" s="2"/>
      <c r="D97" s="2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2"/>
      <c r="P97" s="2"/>
      <c r="Q97" s="2"/>
      <c r="R97" s="2"/>
      <c r="S97" s="2"/>
      <c r="T97" s="2"/>
      <c r="U97" s="2"/>
      <c r="V97" s="2"/>
    </row>
    <row r="98" spans="1:22" ht="12.75">
      <c r="A98" s="2"/>
      <c r="B98" s="2"/>
      <c r="C98" s="2"/>
      <c r="D98" s="2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2"/>
      <c r="P98" s="2"/>
      <c r="Q98" s="2"/>
      <c r="R98" s="2"/>
      <c r="S98" s="2"/>
      <c r="T98" s="2"/>
      <c r="U98" s="2"/>
      <c r="V98" s="2"/>
    </row>
    <row r="99" spans="1:22" ht="12.75">
      <c r="A99" s="2"/>
      <c r="B99" s="2"/>
      <c r="C99" s="2"/>
      <c r="D99" s="2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2"/>
      <c r="P99" s="2"/>
      <c r="Q99" s="2"/>
      <c r="R99" s="2"/>
      <c r="S99" s="2"/>
      <c r="T99" s="2"/>
      <c r="U99" s="2"/>
      <c r="V99" s="2"/>
    </row>
    <row r="100" spans="1:22" ht="12.75">
      <c r="A100" s="2"/>
      <c r="B100" s="2"/>
      <c r="C100" s="2"/>
      <c r="D100" s="2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2"/>
      <c r="B101" s="2"/>
      <c r="C101" s="2"/>
      <c r="D101" s="2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2"/>
      <c r="B102" s="2"/>
      <c r="C102" s="2"/>
      <c r="D102" s="2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2"/>
      <c r="B103" s="2"/>
      <c r="C103" s="2"/>
      <c r="D103" s="2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2"/>
      <c r="P103" s="2"/>
      <c r="Q103" s="2"/>
      <c r="R103" s="2"/>
      <c r="S103" s="2"/>
      <c r="T103" s="2"/>
      <c r="U103" s="2"/>
      <c r="V103" s="2"/>
    </row>
  </sheetData>
  <sheetProtection/>
  <mergeCells count="221">
    <mergeCell ref="E1:F1"/>
    <mergeCell ref="I6:K6"/>
    <mergeCell ref="R1:V1"/>
    <mergeCell ref="R6:V6"/>
    <mergeCell ref="G6:H6"/>
    <mergeCell ref="B1:D1"/>
    <mergeCell ref="N1:O1"/>
    <mergeCell ref="A5:V5"/>
    <mergeCell ref="B6:D6"/>
    <mergeCell ref="E6:F6"/>
    <mergeCell ref="G1:H1"/>
    <mergeCell ref="I1:K1"/>
    <mergeCell ref="A3:B3"/>
    <mergeCell ref="A4:V4"/>
    <mergeCell ref="N6:O6"/>
    <mergeCell ref="R8:V8"/>
    <mergeCell ref="B7:D7"/>
    <mergeCell ref="B8:D8"/>
    <mergeCell ref="E8:F8"/>
    <mergeCell ref="G8:H8"/>
    <mergeCell ref="I8:K8"/>
    <mergeCell ref="N7:O7"/>
    <mergeCell ref="E7:F7"/>
    <mergeCell ref="G7:H7"/>
    <mergeCell ref="R7:V7"/>
    <mergeCell ref="I7:K7"/>
    <mergeCell ref="G9:H9"/>
    <mergeCell ref="I9:K9"/>
    <mergeCell ref="N8:O8"/>
    <mergeCell ref="N9:O9"/>
    <mergeCell ref="G11:H11"/>
    <mergeCell ref="I11:K11"/>
    <mergeCell ref="N10:O10"/>
    <mergeCell ref="R10:V10"/>
    <mergeCell ref="G10:H10"/>
    <mergeCell ref="I10:K10"/>
    <mergeCell ref="R11:V11"/>
    <mergeCell ref="R9:V9"/>
    <mergeCell ref="I12:K12"/>
    <mergeCell ref="R12:V12"/>
    <mergeCell ref="N11:O11"/>
    <mergeCell ref="B12:D12"/>
    <mergeCell ref="E12:F12"/>
    <mergeCell ref="B9:D9"/>
    <mergeCell ref="E9:F9"/>
    <mergeCell ref="B10:D10"/>
    <mergeCell ref="E10:F10"/>
    <mergeCell ref="B11:D11"/>
    <mergeCell ref="E11:F11"/>
    <mergeCell ref="N14:O14"/>
    <mergeCell ref="R14:V14"/>
    <mergeCell ref="N13:O13"/>
    <mergeCell ref="G12:H12"/>
    <mergeCell ref="G14:H14"/>
    <mergeCell ref="I14:K14"/>
    <mergeCell ref="G13:H13"/>
    <mergeCell ref="I13:K13"/>
    <mergeCell ref="R13:V13"/>
    <mergeCell ref="N12:O12"/>
    <mergeCell ref="B17:D17"/>
    <mergeCell ref="E17:F17"/>
    <mergeCell ref="B13:D13"/>
    <mergeCell ref="E13:F13"/>
    <mergeCell ref="B14:D14"/>
    <mergeCell ref="E14:F14"/>
    <mergeCell ref="B15:D15"/>
    <mergeCell ref="E15:F15"/>
    <mergeCell ref="B16:D16"/>
    <mergeCell ref="E16:F16"/>
    <mergeCell ref="G17:H17"/>
    <mergeCell ref="I17:K17"/>
    <mergeCell ref="G15:H15"/>
    <mergeCell ref="I15:K15"/>
    <mergeCell ref="G16:H16"/>
    <mergeCell ref="I16:K16"/>
    <mergeCell ref="R15:V15"/>
    <mergeCell ref="R16:V16"/>
    <mergeCell ref="N17:O17"/>
    <mergeCell ref="R17:V17"/>
    <mergeCell ref="N16:O16"/>
    <mergeCell ref="N15:O15"/>
    <mergeCell ref="R18:V18"/>
    <mergeCell ref="A19:V19"/>
    <mergeCell ref="B20:D20"/>
    <mergeCell ref="E20:F20"/>
    <mergeCell ref="G20:H20"/>
    <mergeCell ref="I20:K20"/>
    <mergeCell ref="N20:O20"/>
    <mergeCell ref="G18:H18"/>
    <mergeCell ref="I18:K18"/>
    <mergeCell ref="A18:D18"/>
    <mergeCell ref="B23:D23"/>
    <mergeCell ref="E23:F23"/>
    <mergeCell ref="G23:H23"/>
    <mergeCell ref="N18:O18"/>
    <mergeCell ref="E18:F18"/>
    <mergeCell ref="B21:D21"/>
    <mergeCell ref="E21:F21"/>
    <mergeCell ref="G21:H21"/>
    <mergeCell ref="B22:D22"/>
    <mergeCell ref="E22:F22"/>
    <mergeCell ref="R20:V20"/>
    <mergeCell ref="N22:O22"/>
    <mergeCell ref="R22:V22"/>
    <mergeCell ref="N23:O23"/>
    <mergeCell ref="I21:K21"/>
    <mergeCell ref="N21:O21"/>
    <mergeCell ref="R21:V21"/>
    <mergeCell ref="R23:V23"/>
    <mergeCell ref="G22:H22"/>
    <mergeCell ref="G24:H24"/>
    <mergeCell ref="I24:K24"/>
    <mergeCell ref="G25:H25"/>
    <mergeCell ref="I25:K25"/>
    <mergeCell ref="I23:K23"/>
    <mergeCell ref="I22:K22"/>
    <mergeCell ref="N24:O24"/>
    <mergeCell ref="B26:D26"/>
    <mergeCell ref="E26:F26"/>
    <mergeCell ref="B24:D24"/>
    <mergeCell ref="E24:F24"/>
    <mergeCell ref="R25:V25"/>
    <mergeCell ref="N25:O25"/>
    <mergeCell ref="B25:D25"/>
    <mergeCell ref="E25:F25"/>
    <mergeCell ref="R24:V24"/>
    <mergeCell ref="G28:H28"/>
    <mergeCell ref="I28:K28"/>
    <mergeCell ref="N26:O26"/>
    <mergeCell ref="R26:V26"/>
    <mergeCell ref="G26:H26"/>
    <mergeCell ref="I26:K26"/>
    <mergeCell ref="N27:O27"/>
    <mergeCell ref="R27:V27"/>
    <mergeCell ref="N28:O28"/>
    <mergeCell ref="R28:V28"/>
    <mergeCell ref="N30:O30"/>
    <mergeCell ref="R30:V30"/>
    <mergeCell ref="B27:D27"/>
    <mergeCell ref="E27:F27"/>
    <mergeCell ref="G27:H27"/>
    <mergeCell ref="I27:K27"/>
    <mergeCell ref="N29:O29"/>
    <mergeCell ref="R29:V29"/>
    <mergeCell ref="B28:D28"/>
    <mergeCell ref="E28:F28"/>
    <mergeCell ref="G30:H30"/>
    <mergeCell ref="I30:K30"/>
    <mergeCell ref="G29:H29"/>
    <mergeCell ref="I29:K29"/>
    <mergeCell ref="B29:D29"/>
    <mergeCell ref="E29:F29"/>
    <mergeCell ref="B30:D30"/>
    <mergeCell ref="E30:F30"/>
    <mergeCell ref="I32:K32"/>
    <mergeCell ref="I31:K31"/>
    <mergeCell ref="N31:O31"/>
    <mergeCell ref="B31:D31"/>
    <mergeCell ref="E31:F31"/>
    <mergeCell ref="G31:H31"/>
    <mergeCell ref="B32:D32"/>
    <mergeCell ref="E32:F32"/>
    <mergeCell ref="G32:H32"/>
    <mergeCell ref="N33:O33"/>
    <mergeCell ref="R33:V33"/>
    <mergeCell ref="R31:V31"/>
    <mergeCell ref="N32:O32"/>
    <mergeCell ref="R32:V32"/>
    <mergeCell ref="R35:V35"/>
    <mergeCell ref="I33:K33"/>
    <mergeCell ref="N36:O36"/>
    <mergeCell ref="R36:V36"/>
    <mergeCell ref="R34:V34"/>
    <mergeCell ref="I36:K36"/>
    <mergeCell ref="I35:K35"/>
    <mergeCell ref="N35:O35"/>
    <mergeCell ref="I34:K34"/>
    <mergeCell ref="N34:O34"/>
    <mergeCell ref="B33:D33"/>
    <mergeCell ref="E33:F33"/>
    <mergeCell ref="G33:H33"/>
    <mergeCell ref="B34:D34"/>
    <mergeCell ref="E34:F34"/>
    <mergeCell ref="G34:H34"/>
    <mergeCell ref="G37:H37"/>
    <mergeCell ref="I37:K37"/>
    <mergeCell ref="B35:D35"/>
    <mergeCell ref="B36:D36"/>
    <mergeCell ref="E36:F36"/>
    <mergeCell ref="G36:H36"/>
    <mergeCell ref="E35:F35"/>
    <mergeCell ref="G35:H35"/>
    <mergeCell ref="A38:D38"/>
    <mergeCell ref="E38:F38"/>
    <mergeCell ref="N37:O37"/>
    <mergeCell ref="R37:V37"/>
    <mergeCell ref="N38:O38"/>
    <mergeCell ref="R38:V38"/>
    <mergeCell ref="G38:H38"/>
    <mergeCell ref="I38:K38"/>
    <mergeCell ref="B37:D37"/>
    <mergeCell ref="E37:F37"/>
    <mergeCell ref="A39:V39"/>
    <mergeCell ref="B40:D40"/>
    <mergeCell ref="E40:F40"/>
    <mergeCell ref="G40:H40"/>
    <mergeCell ref="I40:K40"/>
    <mergeCell ref="N40:O40"/>
    <mergeCell ref="R40:V40"/>
    <mergeCell ref="A41:D41"/>
    <mergeCell ref="E41:F41"/>
    <mergeCell ref="G41:H41"/>
    <mergeCell ref="A42:D42"/>
    <mergeCell ref="E42:F42"/>
    <mergeCell ref="G42:H42"/>
    <mergeCell ref="N42:O42"/>
    <mergeCell ref="R42:V42"/>
    <mergeCell ref="I42:K42"/>
    <mergeCell ref="I41:K41"/>
    <mergeCell ref="N41:O41"/>
    <mergeCell ref="R41:V41"/>
  </mergeCells>
  <printOptions/>
  <pageMargins left="1.26" right="0.75" top="1" bottom="1" header="0.54" footer="0.4921259845"/>
  <pageSetup firstPageNumber="19" useFirstPageNumber="1" horizontalDpi="600" verticalDpi="600" orientation="portrait" paperSize="9" scale="75" r:id="rId1"/>
  <headerFooter alignWithMargins="0">
    <oddHeader>&amp;C&amp;"Arial,Tučné"&amp;12Schválený rozpočet rok 2013 - neinv. příspěvky MŠ a ZŠ - příspěvkové organizace &amp;R&amp;"Arial,Tučné"Příloha č. 11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="125" zoomScaleNormal="125" zoomScalePageLayoutView="0" workbookViewId="0" topLeftCell="A1">
      <pane xSplit="1" ySplit="21" topLeftCell="B28" activePane="bottomRight" state="frozen"/>
      <selection pane="topLeft" activeCell="A1" sqref="A1"/>
      <selection pane="topRight" activeCell="B1" sqref="B1"/>
      <selection pane="bottomLeft" activeCell="A22" sqref="A22"/>
      <selection pane="bottomRight" activeCell="O39" sqref="O39"/>
    </sheetView>
  </sheetViews>
  <sheetFormatPr defaultColWidth="9.140625" defaultRowHeight="12.75" outlineLevelCol="1"/>
  <cols>
    <col min="1" max="1" width="44.140625" style="73" customWidth="1"/>
    <col min="2" max="2" width="12.421875" style="73" hidden="1" customWidth="1"/>
    <col min="3" max="3" width="1.1484375" style="73" hidden="1" customWidth="1"/>
    <col min="4" max="4" width="13.00390625" style="73" hidden="1" customWidth="1" outlineLevel="1"/>
    <col min="5" max="5" width="8.28125" style="73" hidden="1" customWidth="1" outlineLevel="1"/>
    <col min="6" max="6" width="13.8515625" style="73" hidden="1" customWidth="1" outlineLevel="1"/>
    <col min="7" max="8" width="16.7109375" style="73" hidden="1" customWidth="1" outlineLevel="1"/>
    <col min="9" max="9" width="14.140625" style="73" hidden="1" customWidth="1" outlineLevel="1"/>
    <col min="10" max="10" width="15.28125" style="79" hidden="1" customWidth="1" collapsed="1"/>
    <col min="11" max="11" width="12.421875" style="100" hidden="1" customWidth="1"/>
    <col min="12" max="12" width="13.140625" style="100" customWidth="1"/>
    <col min="13" max="13" width="42.57421875" style="73" customWidth="1"/>
    <col min="14" max="14" width="14.421875" style="73" customWidth="1"/>
    <col min="15" max="15" width="11.7109375" style="73" bestFit="1" customWidth="1"/>
    <col min="16" max="16384" width="9.140625" style="73" customWidth="1"/>
  </cols>
  <sheetData>
    <row r="1" spans="1:13" ht="114.75" customHeight="1">
      <c r="A1" s="158" t="s">
        <v>359</v>
      </c>
      <c r="B1" s="158" t="s">
        <v>379</v>
      </c>
      <c r="C1" s="301" t="s">
        <v>380</v>
      </c>
      <c r="D1" s="301"/>
      <c r="E1" s="301" t="s">
        <v>381</v>
      </c>
      <c r="F1" s="301"/>
      <c r="G1" s="158" t="s">
        <v>382</v>
      </c>
      <c r="H1" s="158" t="s">
        <v>524</v>
      </c>
      <c r="I1" s="71" t="s">
        <v>383</v>
      </c>
      <c r="J1" s="156" t="s">
        <v>393</v>
      </c>
      <c r="K1" s="166" t="s">
        <v>294</v>
      </c>
      <c r="L1" s="166" t="s">
        <v>460</v>
      </c>
      <c r="M1" s="72" t="s">
        <v>384</v>
      </c>
    </row>
    <row r="2" spans="1:15" ht="24.75" customHeight="1" hidden="1">
      <c r="A2" s="82" t="s">
        <v>385</v>
      </c>
      <c r="B2" s="84">
        <v>13985</v>
      </c>
      <c r="C2" s="302">
        <v>14210</v>
      </c>
      <c r="D2" s="302"/>
      <c r="E2" s="302">
        <v>8670</v>
      </c>
      <c r="F2" s="303"/>
      <c r="G2" s="85" t="str">
        <f>'[2]odbory'!F59</f>
        <v>13 290</v>
      </c>
      <c r="H2" s="85"/>
      <c r="I2" s="85">
        <f>'[2]odbory'!G59</f>
        <v>0</v>
      </c>
      <c r="J2" s="157">
        <f>13290+I2</f>
        <v>13290</v>
      </c>
      <c r="K2" s="157"/>
      <c r="L2" s="157"/>
      <c r="M2" s="124"/>
      <c r="O2" s="80"/>
    </row>
    <row r="3" spans="1:13" ht="24.75" customHeight="1" hidden="1">
      <c r="A3" s="74" t="s">
        <v>386</v>
      </c>
      <c r="B3" s="75">
        <v>2468</v>
      </c>
      <c r="C3" s="299">
        <v>19701</v>
      </c>
      <c r="D3" s="299"/>
      <c r="E3" s="299">
        <v>17947</v>
      </c>
      <c r="F3" s="300"/>
      <c r="G3" s="77" t="str">
        <f>'[2]odbory'!F152</f>
        <v>2 032</v>
      </c>
      <c r="H3" s="77"/>
      <c r="I3" s="77">
        <f>'[2]odbory'!G152</f>
        <v>0</v>
      </c>
      <c r="J3" s="78">
        <f>2032+I3</f>
        <v>2032</v>
      </c>
      <c r="K3" s="78"/>
      <c r="L3" s="78"/>
      <c r="M3" s="79"/>
    </row>
    <row r="4" spans="1:13" ht="24.75" customHeight="1" hidden="1">
      <c r="A4" s="74" t="s">
        <v>387</v>
      </c>
      <c r="B4" s="75">
        <v>2841</v>
      </c>
      <c r="C4" s="299">
        <v>9084</v>
      </c>
      <c r="D4" s="299"/>
      <c r="E4" s="299">
        <v>1208</v>
      </c>
      <c r="F4" s="300"/>
      <c r="G4" s="77" t="str">
        <f>'[2]odbory'!F203</f>
        <v>2 817</v>
      </c>
      <c r="H4" s="77"/>
      <c r="I4" s="77">
        <f>'[2]odbory'!G203</f>
        <v>0</v>
      </c>
      <c r="J4" s="78">
        <f>2817+I4</f>
        <v>2817</v>
      </c>
      <c r="K4" s="78"/>
      <c r="L4" s="78"/>
      <c r="M4" s="79"/>
    </row>
    <row r="5" spans="1:13" ht="24.75" customHeight="1" hidden="1">
      <c r="A5" s="74" t="s">
        <v>388</v>
      </c>
      <c r="B5" s="75">
        <v>59</v>
      </c>
      <c r="C5" s="299">
        <v>116</v>
      </c>
      <c r="D5" s="299"/>
      <c r="E5" s="299">
        <v>64</v>
      </c>
      <c r="F5" s="300"/>
      <c r="G5" s="77" t="str">
        <f>'[2]odbory'!F219</f>
        <v>59</v>
      </c>
      <c r="H5" s="77"/>
      <c r="I5" s="77">
        <f>'[2]odbory'!G219</f>
        <v>0</v>
      </c>
      <c r="J5" s="78">
        <f>G5+I5</f>
        <v>59</v>
      </c>
      <c r="K5" s="78"/>
      <c r="L5" s="78"/>
      <c r="M5" s="79"/>
    </row>
    <row r="6" spans="1:13" ht="24.75" customHeight="1" hidden="1">
      <c r="A6" s="74" t="s">
        <v>396</v>
      </c>
      <c r="B6" s="75">
        <v>84068</v>
      </c>
      <c r="C6" s="299">
        <v>104208</v>
      </c>
      <c r="D6" s="299"/>
      <c r="E6" s="299">
        <f>42314+148</f>
        <v>42462</v>
      </c>
      <c r="F6" s="300"/>
      <c r="G6" s="77" t="str">
        <f>'[2]odbory'!F271</f>
        <v>81 022</v>
      </c>
      <c r="H6" s="77"/>
      <c r="I6" s="77">
        <f>'[2]odbory'!G271</f>
        <v>0</v>
      </c>
      <c r="J6" s="78">
        <f>81022+I6</f>
        <v>81022</v>
      </c>
      <c r="K6" s="78"/>
      <c r="L6" s="78"/>
      <c r="M6" s="79"/>
    </row>
    <row r="7" spans="1:13" ht="24.75" customHeight="1" hidden="1">
      <c r="A7" s="74" t="s">
        <v>397</v>
      </c>
      <c r="B7" s="75">
        <v>21</v>
      </c>
      <c r="C7" s="299">
        <v>13</v>
      </c>
      <c r="D7" s="299"/>
      <c r="E7" s="299">
        <v>5</v>
      </c>
      <c r="F7" s="300"/>
      <c r="G7" s="77" t="str">
        <f>'[2]odbory'!F281</f>
        <v>21</v>
      </c>
      <c r="H7" s="77"/>
      <c r="I7" s="77">
        <f>'[2]odbory'!G281</f>
        <v>0</v>
      </c>
      <c r="J7" s="78">
        <f>G7+I7</f>
        <v>21</v>
      </c>
      <c r="K7" s="78"/>
      <c r="L7" s="78"/>
      <c r="M7" s="79"/>
    </row>
    <row r="8" spans="1:13" ht="24.75" customHeight="1" hidden="1">
      <c r="A8" s="74" t="s">
        <v>398</v>
      </c>
      <c r="B8" s="75">
        <v>6627</v>
      </c>
      <c r="C8" s="299">
        <v>6522</v>
      </c>
      <c r="D8" s="299"/>
      <c r="E8" s="299">
        <v>4225</v>
      </c>
      <c r="F8" s="300"/>
      <c r="G8" s="77" t="str">
        <f>'[2]odbory'!F331</f>
        <v>7 305</v>
      </c>
      <c r="H8" s="77"/>
      <c r="I8" s="77">
        <f>'[2]odbory'!G331</f>
        <v>0</v>
      </c>
      <c r="J8" s="78">
        <f>7305+I8</f>
        <v>7305</v>
      </c>
      <c r="K8" s="78"/>
      <c r="L8" s="78"/>
      <c r="M8" s="79"/>
    </row>
    <row r="9" spans="1:13" ht="24.75" customHeight="1" hidden="1">
      <c r="A9" s="74" t="s">
        <v>399</v>
      </c>
      <c r="B9" s="75">
        <v>1254</v>
      </c>
      <c r="C9" s="299">
        <v>1284</v>
      </c>
      <c r="D9" s="299"/>
      <c r="E9" s="299">
        <v>979</v>
      </c>
      <c r="F9" s="300"/>
      <c r="G9" s="77" t="str">
        <f>'[2]odbory'!F358</f>
        <v>1 502</v>
      </c>
      <c r="H9" s="77"/>
      <c r="I9" s="77">
        <f>'[2]odbory'!G358</f>
        <v>0</v>
      </c>
      <c r="J9" s="78">
        <f>1502+I9</f>
        <v>1502</v>
      </c>
      <c r="K9" s="78"/>
      <c r="L9" s="78"/>
      <c r="M9" s="79"/>
    </row>
    <row r="10" spans="1:13" ht="24.75" customHeight="1" hidden="1">
      <c r="A10" s="74" t="s">
        <v>400</v>
      </c>
      <c r="B10" s="75">
        <v>423</v>
      </c>
      <c r="C10" s="299">
        <v>2112</v>
      </c>
      <c r="D10" s="299"/>
      <c r="E10" s="299">
        <v>145</v>
      </c>
      <c r="F10" s="300"/>
      <c r="G10" s="77" t="str">
        <f>'[2]odbory'!F385</f>
        <v>452</v>
      </c>
      <c r="H10" s="77"/>
      <c r="I10" s="77">
        <f>'[2]odbory'!G385</f>
        <v>0</v>
      </c>
      <c r="J10" s="78">
        <f>G10+I10</f>
        <v>452</v>
      </c>
      <c r="K10" s="78"/>
      <c r="L10" s="78"/>
      <c r="M10" s="79"/>
    </row>
    <row r="11" spans="1:13" ht="24.75" customHeight="1" hidden="1">
      <c r="A11" s="74" t="s">
        <v>401</v>
      </c>
      <c r="B11" s="75">
        <v>14509</v>
      </c>
      <c r="C11" s="299">
        <v>14430</v>
      </c>
      <c r="D11" s="299"/>
      <c r="E11" s="299">
        <v>10046</v>
      </c>
      <c r="F11" s="300"/>
      <c r="G11" s="77" t="str">
        <f>'[2]odbory'!F495</f>
        <v>17 191</v>
      </c>
      <c r="H11" s="77"/>
      <c r="I11" s="77">
        <f>'[2]odbory'!G495</f>
        <v>0</v>
      </c>
      <c r="J11" s="78">
        <f>17191+I11</f>
        <v>17191</v>
      </c>
      <c r="K11" s="78"/>
      <c r="L11" s="78"/>
      <c r="M11" s="79"/>
    </row>
    <row r="12" spans="1:13" ht="24.75" customHeight="1" hidden="1">
      <c r="A12" s="74" t="s">
        <v>402</v>
      </c>
      <c r="B12" s="75">
        <v>24080</v>
      </c>
      <c r="C12" s="299">
        <v>25506</v>
      </c>
      <c r="D12" s="299"/>
      <c r="E12" s="299">
        <v>15246</v>
      </c>
      <c r="F12" s="300"/>
      <c r="G12" s="77" t="str">
        <f>'[2]odbory'!F530</f>
        <v>24 122</v>
      </c>
      <c r="H12" s="77"/>
      <c r="I12" s="77">
        <f>'[2]odbory'!G530</f>
        <v>0</v>
      </c>
      <c r="J12" s="78">
        <f>24122+I12</f>
        <v>24122</v>
      </c>
      <c r="K12" s="78"/>
      <c r="L12" s="78"/>
      <c r="M12" s="79"/>
    </row>
    <row r="13" spans="1:13" ht="24.75" customHeight="1" hidden="1">
      <c r="A13" s="74" t="s">
        <v>403</v>
      </c>
      <c r="B13" s="75">
        <v>5900</v>
      </c>
      <c r="C13" s="299">
        <v>19766</v>
      </c>
      <c r="D13" s="299"/>
      <c r="E13" s="299">
        <v>17148</v>
      </c>
      <c r="F13" s="300"/>
      <c r="G13" s="77" t="str">
        <f>'[2]odbory'!F649</f>
        <v>4 984</v>
      </c>
      <c r="H13" s="77"/>
      <c r="I13" s="77">
        <f>'[2]odbory'!G649</f>
        <v>0</v>
      </c>
      <c r="J13" s="78">
        <f>4984+I13</f>
        <v>4984</v>
      </c>
      <c r="K13" s="78"/>
      <c r="L13" s="78"/>
      <c r="M13" s="79"/>
    </row>
    <row r="14" spans="1:13" ht="24.75" customHeight="1" hidden="1">
      <c r="A14" s="74" t="s">
        <v>404</v>
      </c>
      <c r="B14" s="75">
        <v>6024</v>
      </c>
      <c r="C14" s="299">
        <v>10644</v>
      </c>
      <c r="D14" s="299"/>
      <c r="E14" s="299">
        <v>6493</v>
      </c>
      <c r="F14" s="300"/>
      <c r="G14" s="77" t="str">
        <f>'[2]odbory'!F1044</f>
        <v>6 624</v>
      </c>
      <c r="H14" s="77"/>
      <c r="I14" s="77">
        <f>'[2]odbory'!G1044</f>
        <v>0</v>
      </c>
      <c r="J14" s="78">
        <f>6624+I14</f>
        <v>6624</v>
      </c>
      <c r="K14" s="78"/>
      <c r="L14" s="78"/>
      <c r="M14" s="79"/>
    </row>
    <row r="15" spans="1:13" ht="24.75" customHeight="1" hidden="1">
      <c r="A15" s="74" t="s">
        <v>405</v>
      </c>
      <c r="B15" s="75">
        <v>90239</v>
      </c>
      <c r="C15" s="299">
        <v>90501</v>
      </c>
      <c r="D15" s="299"/>
      <c r="E15" s="299">
        <v>59367</v>
      </c>
      <c r="F15" s="300"/>
      <c r="G15" s="77" t="e">
        <f>'sumář odbory'!G15</f>
        <v>#REF!</v>
      </c>
      <c r="H15" s="77"/>
      <c r="I15" s="77">
        <f>'[2]odbory'!G1195</f>
        <v>0</v>
      </c>
      <c r="J15" s="78" t="e">
        <f>G15+I15</f>
        <v>#REF!</v>
      </c>
      <c r="K15" s="78"/>
      <c r="L15" s="78"/>
      <c r="M15" s="79"/>
    </row>
    <row r="16" spans="1:13" ht="24.75" customHeight="1" hidden="1">
      <c r="A16" s="74" t="s">
        <v>434</v>
      </c>
      <c r="B16" s="75">
        <v>0</v>
      </c>
      <c r="C16" s="75"/>
      <c r="D16" s="75">
        <v>0</v>
      </c>
      <c r="E16" s="75"/>
      <c r="F16" s="76">
        <v>0</v>
      </c>
      <c r="G16" s="77" t="e">
        <f>'sumář odbory'!G16</f>
        <v>#REF!</v>
      </c>
      <c r="H16" s="77"/>
      <c r="I16" s="77"/>
      <c r="J16" s="78" t="e">
        <f>'sumář odbory'!I16</f>
        <v>#REF!</v>
      </c>
      <c r="K16" s="78"/>
      <c r="L16" s="78"/>
      <c r="M16" s="79"/>
    </row>
    <row r="17" spans="1:13" ht="24.75" customHeight="1" hidden="1">
      <c r="A17" s="74" t="s">
        <v>406</v>
      </c>
      <c r="B17" s="75">
        <v>10000</v>
      </c>
      <c r="C17" s="299">
        <v>10044</v>
      </c>
      <c r="D17" s="299"/>
      <c r="E17" s="299">
        <v>6742</v>
      </c>
      <c r="F17" s="300"/>
      <c r="G17" s="77" t="str">
        <f>'[2]odbory'!F1226</f>
        <v>10 100</v>
      </c>
      <c r="H17" s="77"/>
      <c r="I17" s="77">
        <f>'[2]odbory'!G1226</f>
        <v>0</v>
      </c>
      <c r="J17" s="78">
        <f>10100+I17</f>
        <v>10100</v>
      </c>
      <c r="K17" s="78"/>
      <c r="L17" s="78"/>
      <c r="M17" s="79"/>
    </row>
    <row r="18" spans="1:13" ht="24.75" customHeight="1" hidden="1">
      <c r="A18" s="74" t="s">
        <v>407</v>
      </c>
      <c r="B18" s="75">
        <v>27446</v>
      </c>
      <c r="C18" s="299">
        <v>34043</v>
      </c>
      <c r="D18" s="299"/>
      <c r="E18" s="299">
        <v>15837</v>
      </c>
      <c r="F18" s="300"/>
      <c r="G18" s="77" t="str">
        <f>'[2]odbory'!F1295</f>
        <v>26 051</v>
      </c>
      <c r="H18" s="77"/>
      <c r="I18" s="77">
        <f>'[2]odbory'!G1295</f>
        <v>0</v>
      </c>
      <c r="J18" s="78">
        <f>26051+I18</f>
        <v>26051</v>
      </c>
      <c r="K18" s="78"/>
      <c r="L18" s="78"/>
      <c r="M18" s="79"/>
    </row>
    <row r="19" spans="1:13" ht="24.75" customHeight="1" hidden="1">
      <c r="A19" s="74" t="s">
        <v>408</v>
      </c>
      <c r="B19" s="75">
        <v>10071</v>
      </c>
      <c r="C19" s="299">
        <v>10003</v>
      </c>
      <c r="D19" s="299"/>
      <c r="E19" s="299">
        <v>8216</v>
      </c>
      <c r="F19" s="300"/>
      <c r="G19" s="77" t="str">
        <f>'[2]odbory'!F1328</f>
        <v>9 171</v>
      </c>
      <c r="H19" s="77"/>
      <c r="I19" s="77">
        <f>'[2]odbory'!G1328</f>
        <v>0</v>
      </c>
      <c r="J19" s="78">
        <f>9171+I19</f>
        <v>9171</v>
      </c>
      <c r="K19" s="78"/>
      <c r="L19" s="78"/>
      <c r="M19" s="79"/>
    </row>
    <row r="20" spans="1:13" ht="24.75" customHeight="1" hidden="1">
      <c r="A20" s="74" t="s">
        <v>409</v>
      </c>
      <c r="B20" s="75">
        <v>3233</v>
      </c>
      <c r="C20" s="299">
        <v>3326</v>
      </c>
      <c r="D20" s="299"/>
      <c r="E20" s="299">
        <v>2109</v>
      </c>
      <c r="F20" s="300"/>
      <c r="G20" s="77" t="str">
        <f>'[2]odbory'!F1430</f>
        <v>3 158</v>
      </c>
      <c r="H20" s="77"/>
      <c r="I20" s="77">
        <f>'[2]odbory'!G1430</f>
        <v>0</v>
      </c>
      <c r="J20" s="78">
        <f>3158+I20</f>
        <v>3158</v>
      </c>
      <c r="K20" s="78"/>
      <c r="L20" s="78"/>
      <c r="M20" s="79"/>
    </row>
    <row r="21" spans="1:13" ht="24.75" customHeight="1" hidden="1">
      <c r="A21" s="74" t="s">
        <v>410</v>
      </c>
      <c r="B21" s="75">
        <v>2535</v>
      </c>
      <c r="C21" s="299">
        <v>6440</v>
      </c>
      <c r="D21" s="299"/>
      <c r="E21" s="299">
        <v>2379</v>
      </c>
      <c r="F21" s="300"/>
      <c r="G21" s="77" t="str">
        <f>'[2]odbory'!F1462</f>
        <v>2 535</v>
      </c>
      <c r="H21" s="77"/>
      <c r="I21" s="77">
        <f>'[2]odbory'!G1462</f>
        <v>0</v>
      </c>
      <c r="J21" s="78">
        <f>2535+I21</f>
        <v>2535</v>
      </c>
      <c r="K21" s="78"/>
      <c r="L21" s="78"/>
      <c r="M21" s="79"/>
    </row>
    <row r="22" spans="1:13" ht="33" customHeight="1">
      <c r="A22" s="91" t="s">
        <v>360</v>
      </c>
      <c r="B22" s="95">
        <f>'příjmy 2013'!K115</f>
        <v>2357289</v>
      </c>
      <c r="C22" s="308">
        <v>2410095</v>
      </c>
      <c r="D22" s="308"/>
      <c r="E22" s="308">
        <v>1860834</v>
      </c>
      <c r="F22" s="309"/>
      <c r="G22" s="93" t="e">
        <f>'[2]příjmy 2013'!F115</f>
        <v>#REF!</v>
      </c>
      <c r="H22" s="127" t="e">
        <f>G22-B22</f>
        <v>#REF!</v>
      </c>
      <c r="I22" s="92">
        <f>'příjmy 2013'!G85</f>
        <v>0</v>
      </c>
      <c r="J22" s="93" t="e">
        <f>SUM(J16:J21)</f>
        <v>#REF!</v>
      </c>
      <c r="K22" s="93">
        <f>SUM(K16:K21)</f>
        <v>0</v>
      </c>
      <c r="L22" s="93">
        <f>'příjmy 2013'!L115</f>
        <v>2187680.5</v>
      </c>
      <c r="M22" s="81"/>
    </row>
    <row r="23" spans="1:13" ht="32.25" customHeight="1">
      <c r="A23" s="125" t="s">
        <v>361</v>
      </c>
      <c r="B23" s="126">
        <f>B24+B37</f>
        <v>2439088</v>
      </c>
      <c r="C23" s="304">
        <f>D21+C22</f>
        <v>2410095</v>
      </c>
      <c r="D23" s="304"/>
      <c r="E23" s="304">
        <f>F21+E22-45</f>
        <v>1860789</v>
      </c>
      <c r="F23" s="305"/>
      <c r="G23" s="97" t="e">
        <f>G21+G22</f>
        <v>#VALUE!</v>
      </c>
      <c r="H23" s="97" t="e">
        <f>G23-B23</f>
        <v>#VALUE!</v>
      </c>
      <c r="I23" s="97">
        <f>I22+I21</f>
        <v>0</v>
      </c>
      <c r="J23" s="97" t="e">
        <f>J22+J21</f>
        <v>#REF!</v>
      </c>
      <c r="K23" s="97"/>
      <c r="L23" s="97">
        <f>L24+L37</f>
        <v>2377435.5</v>
      </c>
      <c r="M23" s="81"/>
    </row>
    <row r="24" spans="1:13" ht="24.75" customHeight="1">
      <c r="A24" s="169" t="s">
        <v>354</v>
      </c>
      <c r="B24" s="92">
        <f>SUM(B25:B36)</f>
        <v>1636295</v>
      </c>
      <c r="C24" s="92" t="e">
        <f aca="true" t="shared" si="0" ref="C24:L24">SUM(C25:C36)</f>
        <v>#REF!</v>
      </c>
      <c r="D24" s="92" t="e">
        <f t="shared" si="0"/>
        <v>#REF!</v>
      </c>
      <c r="E24" s="92" t="e">
        <f t="shared" si="0"/>
        <v>#REF!</v>
      </c>
      <c r="F24" s="92" t="e">
        <f t="shared" si="0"/>
        <v>#REF!</v>
      </c>
      <c r="G24" s="92" t="e">
        <f t="shared" si="0"/>
        <v>#REF!</v>
      </c>
      <c r="H24" s="92" t="e">
        <f t="shared" si="0"/>
        <v>#REF!</v>
      </c>
      <c r="I24" s="92" t="e">
        <f t="shared" si="0"/>
        <v>#REF!</v>
      </c>
      <c r="J24" s="92" t="e">
        <f t="shared" si="0"/>
        <v>#REF!</v>
      </c>
      <c r="K24" s="92" t="e">
        <f t="shared" si="0"/>
        <v>#REF!</v>
      </c>
      <c r="L24" s="92">
        <f t="shared" si="0"/>
        <v>1655918.5</v>
      </c>
      <c r="M24" s="81"/>
    </row>
    <row r="25" spans="1:13" ht="24.75" customHeight="1">
      <c r="A25" s="170" t="s">
        <v>355</v>
      </c>
      <c r="B25" s="172">
        <f>'sumář odbory'!B22</f>
        <v>305783</v>
      </c>
      <c r="C25" s="172">
        <f>SUM(C2:C21)</f>
        <v>381953</v>
      </c>
      <c r="D25" s="172">
        <f>'sumář odbory'!D22</f>
        <v>381953</v>
      </c>
      <c r="E25" s="172">
        <f>SUM(D2:E21)</f>
        <v>219288</v>
      </c>
      <c r="F25" s="172">
        <f>'sumář odbory'!F22</f>
        <v>219288</v>
      </c>
      <c r="G25" s="172">
        <f>'sumář odbory'!G22</f>
        <v>327832</v>
      </c>
      <c r="H25" s="172">
        <f>G25-B25</f>
        <v>22049</v>
      </c>
      <c r="I25" s="172" t="e">
        <f>'sumář odbory'!H22</f>
        <v>#REF!</v>
      </c>
      <c r="J25" s="173" t="e">
        <f>'sumář odbory'!I22</f>
        <v>#REF!</v>
      </c>
      <c r="K25" s="173" t="e">
        <f>'sumář odbory'!J22</f>
        <v>#REF!</v>
      </c>
      <c r="L25" s="173">
        <f>'sumář odbory'!K22</f>
        <v>308795.5</v>
      </c>
      <c r="M25" s="171"/>
    </row>
    <row r="26" spans="1:13" ht="24.75" customHeight="1">
      <c r="A26" s="82" t="s">
        <v>411</v>
      </c>
      <c r="B26" s="83">
        <v>47083</v>
      </c>
      <c r="C26" s="83" t="e">
        <f>'sumář odbory'!#REF!</f>
        <v>#REF!</v>
      </c>
      <c r="D26" s="83" t="e">
        <f>'sumář odbory'!#REF!</f>
        <v>#REF!</v>
      </c>
      <c r="E26" s="83" t="e">
        <f>'sumář odbory'!#REF!</f>
        <v>#REF!</v>
      </c>
      <c r="F26" s="83" t="e">
        <f>'sumář odbory'!#REF!</f>
        <v>#REF!</v>
      </c>
      <c r="G26" s="83" t="e">
        <f>'sumář odbory'!#REF!</f>
        <v>#REF!</v>
      </c>
      <c r="H26" s="83" t="e">
        <f aca="true" t="shared" si="1" ref="H26:H43">G26-B26</f>
        <v>#REF!</v>
      </c>
      <c r="I26" s="83" t="e">
        <f>'sumář odbory'!#REF!</f>
        <v>#REF!</v>
      </c>
      <c r="J26" s="83" t="e">
        <f>'sumář odbory'!#REF!</f>
        <v>#REF!</v>
      </c>
      <c r="K26" s="83" t="e">
        <f>'sumář odbory'!#REF!</f>
        <v>#REF!</v>
      </c>
      <c r="L26" s="83">
        <f>Granty!L14</f>
        <v>76480</v>
      </c>
      <c r="M26" s="79"/>
    </row>
    <row r="27" spans="1:15" ht="24.75" customHeight="1">
      <c r="A27" s="82" t="s">
        <v>412</v>
      </c>
      <c r="B27" s="83">
        <v>62200</v>
      </c>
      <c r="C27" s="83" t="e">
        <f>'sumář odbory'!#REF!</f>
        <v>#REF!</v>
      </c>
      <c r="D27" s="83" t="e">
        <f>'sumář odbory'!#REF!</f>
        <v>#REF!</v>
      </c>
      <c r="E27" s="83" t="e">
        <f>'sumář odbory'!#REF!</f>
        <v>#REF!</v>
      </c>
      <c r="F27" s="83" t="e">
        <f>'sumář odbory'!#REF!</f>
        <v>#REF!</v>
      </c>
      <c r="G27" s="83" t="e">
        <f>'sumář odbory'!#REF!</f>
        <v>#REF!</v>
      </c>
      <c r="H27" s="83" t="e">
        <f t="shared" si="1"/>
        <v>#REF!</v>
      </c>
      <c r="I27" s="83" t="e">
        <f>'sumář odbory'!#REF!</f>
        <v>#REF!</v>
      </c>
      <c r="J27" s="83" t="e">
        <f>'sumář odbory'!#REF!</f>
        <v>#REF!</v>
      </c>
      <c r="K27" s="83" t="e">
        <f>'sumář odbory'!#REF!</f>
        <v>#REF!</v>
      </c>
      <c r="L27" s="83">
        <f>'sport. zařízení'!I6</f>
        <v>76300</v>
      </c>
      <c r="M27" s="79"/>
      <c r="O27" s="86"/>
    </row>
    <row r="28" spans="1:15" ht="24.75" customHeight="1">
      <c r="A28" s="74" t="s">
        <v>413</v>
      </c>
      <c r="B28" s="76">
        <v>4206</v>
      </c>
      <c r="C28" s="76" t="e">
        <f>'sumář odbory'!#REF!</f>
        <v>#REF!</v>
      </c>
      <c r="D28" s="76" t="e">
        <f>'sumář odbory'!#REF!</f>
        <v>#REF!</v>
      </c>
      <c r="E28" s="76" t="e">
        <f>'sumář odbory'!#REF!</f>
        <v>#REF!</v>
      </c>
      <c r="F28" s="76" t="e">
        <f>'sumář odbory'!#REF!</f>
        <v>#REF!</v>
      </c>
      <c r="G28" s="76" t="e">
        <f>'sumář odbory'!#REF!</f>
        <v>#REF!</v>
      </c>
      <c r="H28" s="76" t="e">
        <f t="shared" si="1"/>
        <v>#REF!</v>
      </c>
      <c r="I28" s="76" t="e">
        <f>'sumář odbory'!#REF!</f>
        <v>#REF!</v>
      </c>
      <c r="J28" s="76" t="e">
        <f>'sumář odbory'!#REF!</f>
        <v>#REF!</v>
      </c>
      <c r="K28" s="76" t="e">
        <f>'sumář odbory'!#REF!</f>
        <v>#REF!</v>
      </c>
      <c r="L28" s="76">
        <f>'členské přísp.'!Q41</f>
        <v>3667</v>
      </c>
      <c r="M28" s="79"/>
      <c r="O28" s="90"/>
    </row>
    <row r="29" spans="1:15" ht="24.75" customHeight="1">
      <c r="A29" s="74" t="s">
        <v>414</v>
      </c>
      <c r="B29" s="76">
        <v>54075</v>
      </c>
      <c r="C29" s="76" t="e">
        <f>'sumář odbory'!#REF!</f>
        <v>#REF!</v>
      </c>
      <c r="D29" s="76" t="e">
        <f>'sumář odbory'!#REF!</f>
        <v>#REF!</v>
      </c>
      <c r="E29" s="76" t="e">
        <f>'sumář odbory'!#REF!</f>
        <v>#REF!</v>
      </c>
      <c r="F29" s="76" t="e">
        <f>'sumář odbory'!#REF!</f>
        <v>#REF!</v>
      </c>
      <c r="G29" s="76" t="e">
        <f>'sumář odbory'!#REF!</f>
        <v>#REF!</v>
      </c>
      <c r="H29" s="76" t="e">
        <f t="shared" si="1"/>
        <v>#REF!</v>
      </c>
      <c r="I29" s="76" t="e">
        <f>'sumář odbory'!#REF!</f>
        <v>#REF!</v>
      </c>
      <c r="J29" s="76" t="e">
        <f>'sumář odbory'!#REF!</f>
        <v>#REF!</v>
      </c>
      <c r="K29" s="76" t="e">
        <f>'sumář odbory'!#REF!</f>
        <v>#REF!</v>
      </c>
      <c r="L29" s="76">
        <f>'Velké opravy'!Q72</f>
        <v>45357</v>
      </c>
      <c r="M29" s="79"/>
      <c r="O29" s="86"/>
    </row>
    <row r="30" spans="1:15" ht="24.75" customHeight="1">
      <c r="A30" s="74" t="s">
        <v>415</v>
      </c>
      <c r="B30" s="76">
        <v>0</v>
      </c>
      <c r="C30" s="89"/>
      <c r="D30" s="75">
        <v>0</v>
      </c>
      <c r="E30" s="87"/>
      <c r="F30" s="88">
        <v>0</v>
      </c>
      <c r="G30" s="77" t="e">
        <f>'sumář odbory'!#REF!</f>
        <v>#REF!</v>
      </c>
      <c r="H30" s="77" t="e">
        <f t="shared" si="1"/>
        <v>#REF!</v>
      </c>
      <c r="I30" s="77" t="e">
        <f>'sumář odbory'!#REF!</f>
        <v>#REF!</v>
      </c>
      <c r="J30" s="77" t="e">
        <f>'sumář odbory'!#REF!</f>
        <v>#REF!</v>
      </c>
      <c r="K30" s="77" t="e">
        <f>'sumář odbory'!#REF!</f>
        <v>#REF!</v>
      </c>
      <c r="L30" s="77">
        <f>'Plány rozvoje'!Q6</f>
        <v>7980</v>
      </c>
      <c r="M30" s="79"/>
      <c r="O30" s="86"/>
    </row>
    <row r="31" spans="1:15" ht="24.75" customHeight="1">
      <c r="A31" s="74" t="s">
        <v>372</v>
      </c>
      <c r="B31" s="76">
        <v>281491</v>
      </c>
      <c r="C31" s="76" t="e">
        <f>'sumář odbory'!#REF!</f>
        <v>#REF!</v>
      </c>
      <c r="D31" s="76" t="e">
        <f>'sumář odbory'!#REF!</f>
        <v>#REF!</v>
      </c>
      <c r="E31" s="76" t="e">
        <f>'sumář odbory'!#REF!</f>
        <v>#REF!</v>
      </c>
      <c r="F31" s="76" t="e">
        <f>'sumář odbory'!#REF!</f>
        <v>#REF!</v>
      </c>
      <c r="G31" s="76" t="e">
        <f>'sumář odbory'!#REF!</f>
        <v>#REF!</v>
      </c>
      <c r="H31" s="76" t="e">
        <f t="shared" si="1"/>
        <v>#REF!</v>
      </c>
      <c r="I31" s="76" t="e">
        <f>'sumář odbory'!#REF!</f>
        <v>#REF!</v>
      </c>
      <c r="J31" s="76" t="e">
        <f>'sumář odbory'!#REF!</f>
        <v>#REF!</v>
      </c>
      <c r="K31" s="76" t="e">
        <f>'sumář odbory'!#REF!</f>
        <v>#REF!</v>
      </c>
      <c r="L31" s="76">
        <f>mzdy!Q26</f>
        <v>289419</v>
      </c>
      <c r="M31" s="79"/>
      <c r="O31" s="86"/>
    </row>
    <row r="32" spans="1:16" ht="24.75" customHeight="1">
      <c r="A32" s="74" t="s">
        <v>416</v>
      </c>
      <c r="B32" s="76">
        <v>53000</v>
      </c>
      <c r="C32" s="76" t="e">
        <f>'sumář odbory'!#REF!</f>
        <v>#REF!</v>
      </c>
      <c r="D32" s="76" t="e">
        <f>'sumář odbory'!#REF!</f>
        <v>#REF!</v>
      </c>
      <c r="E32" s="76" t="e">
        <f>'sumář odbory'!#REF!</f>
        <v>#REF!</v>
      </c>
      <c r="F32" s="76" t="e">
        <f>'sumář odbory'!#REF!</f>
        <v>#REF!</v>
      </c>
      <c r="G32" s="76" t="e">
        <f>'sumář odbory'!#REF!</f>
        <v>#REF!</v>
      </c>
      <c r="H32" s="76" t="e">
        <f t="shared" si="1"/>
        <v>#REF!</v>
      </c>
      <c r="I32" s="76" t="e">
        <f>'sumář odbory'!#REF!</f>
        <v>#REF!</v>
      </c>
      <c r="J32" s="76" t="e">
        <f>'sumář odbory'!#REF!</f>
        <v>#REF!</v>
      </c>
      <c r="K32" s="76" t="e">
        <f>'sumář odbory'!#REF!</f>
        <v>#REF!</v>
      </c>
      <c r="L32" s="76">
        <f>mzdy!Q34</f>
        <v>53700</v>
      </c>
      <c r="M32" s="79"/>
      <c r="O32" s="90"/>
      <c r="P32" s="90"/>
    </row>
    <row r="33" spans="1:13" ht="24.75" customHeight="1">
      <c r="A33" s="74" t="s">
        <v>417</v>
      </c>
      <c r="B33" s="76">
        <v>526011</v>
      </c>
      <c r="C33" s="76" t="e">
        <f>'sumář odbory'!#REF!</f>
        <v>#REF!</v>
      </c>
      <c r="D33" s="76" t="e">
        <f>'sumář odbory'!#REF!</f>
        <v>#REF!</v>
      </c>
      <c r="E33" s="76" t="e">
        <f>'sumář odbory'!#REF!</f>
        <v>#REF!</v>
      </c>
      <c r="F33" s="76" t="e">
        <f>'sumář odbory'!#REF!</f>
        <v>#REF!</v>
      </c>
      <c r="G33" s="76" t="e">
        <f>'sumář odbory'!#REF!</f>
        <v>#REF!</v>
      </c>
      <c r="H33" s="76" t="e">
        <f t="shared" si="1"/>
        <v>#REF!</v>
      </c>
      <c r="I33" s="76" t="e">
        <f>'sumář odbory'!#REF!</f>
        <v>#REF!</v>
      </c>
      <c r="J33" s="76" t="e">
        <f>'sumář odbory'!#REF!</f>
        <v>#REF!</v>
      </c>
      <c r="K33" s="76" t="e">
        <f>'sumář odbory'!#REF!</f>
        <v>#REF!</v>
      </c>
      <c r="L33" s="76">
        <f>OVS!N98</f>
        <v>490719</v>
      </c>
      <c r="M33" s="79"/>
    </row>
    <row r="34" spans="1:15" ht="24.75" customHeight="1">
      <c r="A34" s="74" t="s">
        <v>418</v>
      </c>
      <c r="B34" s="75">
        <v>184487</v>
      </c>
      <c r="C34" s="302" t="e">
        <f>'sumář odbory'!#REF!</f>
        <v>#REF!</v>
      </c>
      <c r="D34" s="302"/>
      <c r="E34" s="306" t="e">
        <f>'sumář odbory'!#REF!</f>
        <v>#REF!</v>
      </c>
      <c r="F34" s="300"/>
      <c r="G34" s="77" t="e">
        <f>'sumář odbory'!#REF!</f>
        <v>#REF!</v>
      </c>
      <c r="H34" s="77" t="e">
        <f t="shared" si="1"/>
        <v>#REF!</v>
      </c>
      <c r="I34" s="77" t="e">
        <f>'sumář odbory'!#REF!</f>
        <v>#REF!</v>
      </c>
      <c r="J34" s="78" t="e">
        <f>190322+I34</f>
        <v>#REF!</v>
      </c>
      <c r="K34" s="78" t="e">
        <f>'sumář odbory'!#REF!</f>
        <v>#REF!</v>
      </c>
      <c r="L34" s="144">
        <f>PO!Q27</f>
        <v>185300</v>
      </c>
      <c r="M34" s="79"/>
      <c r="O34" s="86"/>
    </row>
    <row r="35" spans="1:13" ht="24.75" customHeight="1">
      <c r="A35" s="74" t="s">
        <v>419</v>
      </c>
      <c r="B35" s="75">
        <v>147959</v>
      </c>
      <c r="C35" s="75" t="e">
        <f>'sumář odbory'!#REF!</f>
        <v>#REF!</v>
      </c>
      <c r="D35" s="75" t="e">
        <f>'sumář odbory'!#REF!</f>
        <v>#REF!</v>
      </c>
      <c r="E35" s="75" t="e">
        <f>'sumář odbory'!#REF!</f>
        <v>#REF!</v>
      </c>
      <c r="F35" s="75" t="e">
        <f>'sumář odbory'!#REF!</f>
        <v>#REF!</v>
      </c>
      <c r="G35" s="75" t="e">
        <f>'sumář odbory'!#REF!</f>
        <v>#REF!</v>
      </c>
      <c r="H35" s="75" t="e">
        <f t="shared" si="1"/>
        <v>#REF!</v>
      </c>
      <c r="I35" s="75" t="e">
        <f>'sumář odbory'!#REF!</f>
        <v>#REF!</v>
      </c>
      <c r="J35" s="75" t="e">
        <f>'sumář odbory'!#REF!</f>
        <v>#REF!</v>
      </c>
      <c r="K35" s="75" t="e">
        <f>'sumář odbory'!#REF!</f>
        <v>#REF!</v>
      </c>
      <c r="L35" s="75">
        <f>'PO školství'!Q42</f>
        <v>148201</v>
      </c>
      <c r="M35" s="79"/>
    </row>
    <row r="36" spans="1:16" ht="24.75" customHeight="1">
      <c r="A36" s="74" t="s">
        <v>420</v>
      </c>
      <c r="B36" s="75">
        <v>-30000</v>
      </c>
      <c r="C36" s="299" t="e">
        <f>'sumář odbory'!#REF!</f>
        <v>#REF!</v>
      </c>
      <c r="D36" s="299"/>
      <c r="E36" s="306" t="e">
        <f>'sumář odbory'!#REF!</f>
        <v>#REF!</v>
      </c>
      <c r="F36" s="300"/>
      <c r="G36" s="77" t="e">
        <f>'sumář odbory'!#REF!</f>
        <v>#REF!</v>
      </c>
      <c r="H36" s="77" t="e">
        <f t="shared" si="1"/>
        <v>#REF!</v>
      </c>
      <c r="I36" s="77" t="e">
        <f>'sumář odbory'!#REF!</f>
        <v>#REF!</v>
      </c>
      <c r="J36" s="78" t="e">
        <f>G36+I36</f>
        <v>#REF!</v>
      </c>
      <c r="K36" s="78"/>
      <c r="L36" s="144">
        <v>-30000</v>
      </c>
      <c r="M36" s="94"/>
      <c r="P36" s="103"/>
    </row>
    <row r="37" spans="1:13" ht="24.75" customHeight="1">
      <c r="A37" s="101" t="s">
        <v>356</v>
      </c>
      <c r="B37" s="92">
        <f>B38+B39+B40</f>
        <v>802793</v>
      </c>
      <c r="C37" s="307" t="e">
        <f>'sumář odbory'!#REF!</f>
        <v>#REF!</v>
      </c>
      <c r="D37" s="307"/>
      <c r="E37" s="307" t="e">
        <f>'sumář odbory'!#REF!</f>
        <v>#REF!</v>
      </c>
      <c r="F37" s="307"/>
      <c r="G37" s="92" t="e">
        <f>'sumář odbory'!#REF!</f>
        <v>#REF!</v>
      </c>
      <c r="H37" s="92" t="e">
        <f t="shared" si="1"/>
        <v>#REF!</v>
      </c>
      <c r="I37" s="92" t="e">
        <f>'sumář odbory'!#REF!</f>
        <v>#REF!</v>
      </c>
      <c r="J37" s="92" t="e">
        <f>'sumář odbory'!#REF!</f>
        <v>#REF!</v>
      </c>
      <c r="K37" s="92"/>
      <c r="L37" s="92">
        <v>721517</v>
      </c>
      <c r="M37" s="81"/>
    </row>
    <row r="38" spans="1:16" ht="24.75" customHeight="1">
      <c r="A38" s="175" t="s">
        <v>3</v>
      </c>
      <c r="B38" s="176">
        <v>672701</v>
      </c>
      <c r="C38" s="177"/>
      <c r="D38" s="177"/>
      <c r="E38" s="177"/>
      <c r="F38" s="177"/>
      <c r="G38" s="123"/>
      <c r="H38" s="123"/>
      <c r="I38" s="176"/>
      <c r="J38" s="123"/>
      <c r="K38" s="123"/>
      <c r="L38" s="123">
        <f>721517-20400-29999</f>
        <v>671118</v>
      </c>
      <c r="M38" s="171"/>
      <c r="P38" s="90"/>
    </row>
    <row r="39" spans="1:13" ht="24.75" customHeight="1">
      <c r="A39" s="175" t="s">
        <v>357</v>
      </c>
      <c r="B39" s="176">
        <v>27502</v>
      </c>
      <c r="C39" s="177"/>
      <c r="D39" s="177"/>
      <c r="E39" s="177"/>
      <c r="F39" s="177"/>
      <c r="G39" s="123"/>
      <c r="H39" s="123"/>
      <c r="I39" s="176"/>
      <c r="J39" s="123"/>
      <c r="K39" s="123"/>
      <c r="L39" s="123">
        <v>20400</v>
      </c>
      <c r="M39" s="171"/>
    </row>
    <row r="40" spans="1:13" ht="24.75" customHeight="1">
      <c r="A40" s="175" t="s">
        <v>358</v>
      </c>
      <c r="B40" s="176">
        <v>102590</v>
      </c>
      <c r="C40" s="177"/>
      <c r="D40" s="177"/>
      <c r="E40" s="177"/>
      <c r="F40" s="177"/>
      <c r="G40" s="123"/>
      <c r="H40" s="123"/>
      <c r="I40" s="176"/>
      <c r="J40" s="123"/>
      <c r="K40" s="123"/>
      <c r="L40" s="123">
        <v>29999</v>
      </c>
      <c r="M40" s="171"/>
    </row>
    <row r="41" spans="1:13" ht="24.75" customHeight="1">
      <c r="A41" s="101" t="s">
        <v>362</v>
      </c>
      <c r="B41" s="92">
        <f>B42+B43+B46+B47</f>
        <v>81799</v>
      </c>
      <c r="C41" s="92" t="e">
        <f>SUM(C33:C40)</f>
        <v>#REF!</v>
      </c>
      <c r="D41" s="92" t="e">
        <f>SUM(C33:D40)</f>
        <v>#REF!</v>
      </c>
      <c r="E41" s="307" t="e">
        <f>SUM(E33:F40)</f>
        <v>#REF!</v>
      </c>
      <c r="F41" s="307"/>
      <c r="G41" s="92">
        <v>159755</v>
      </c>
      <c r="H41" s="92"/>
      <c r="I41" s="168"/>
      <c r="J41" s="143">
        <v>159755</v>
      </c>
      <c r="K41" s="143">
        <v>30000</v>
      </c>
      <c r="L41" s="143">
        <f>L42+L43+L44+L45+L46+L47</f>
        <v>189755</v>
      </c>
      <c r="M41" s="81"/>
    </row>
    <row r="42" spans="1:15" ht="24.75" customHeight="1">
      <c r="A42" s="82" t="s">
        <v>4</v>
      </c>
      <c r="B42" s="84">
        <v>30000</v>
      </c>
      <c r="C42" s="299">
        <v>30000</v>
      </c>
      <c r="D42" s="299"/>
      <c r="E42" s="299">
        <v>0</v>
      </c>
      <c r="F42" s="300"/>
      <c r="G42" s="77">
        <v>30000</v>
      </c>
      <c r="H42" s="77">
        <f t="shared" si="1"/>
        <v>0</v>
      </c>
      <c r="I42" s="96"/>
      <c r="J42" s="165">
        <f aca="true" t="shared" si="2" ref="J42:J47">G42</f>
        <v>30000</v>
      </c>
      <c r="K42" s="165"/>
      <c r="L42" s="174">
        <v>30000</v>
      </c>
      <c r="M42" s="188" t="s">
        <v>5</v>
      </c>
      <c r="N42" s="86"/>
      <c r="O42" s="86"/>
    </row>
    <row r="43" spans="1:15" ht="24.75" customHeight="1">
      <c r="A43" s="74" t="s">
        <v>6</v>
      </c>
      <c r="B43" s="75">
        <v>-30000</v>
      </c>
      <c r="C43" s="299">
        <v>-30000</v>
      </c>
      <c r="D43" s="299"/>
      <c r="E43" s="299">
        <v>-30000</v>
      </c>
      <c r="F43" s="300"/>
      <c r="G43" s="77">
        <v>-30000</v>
      </c>
      <c r="H43" s="77">
        <f t="shared" si="1"/>
        <v>0</v>
      </c>
      <c r="I43" s="96"/>
      <c r="J43" s="165">
        <f t="shared" si="2"/>
        <v>-30000</v>
      </c>
      <c r="K43" s="165"/>
      <c r="L43" s="174">
        <v>-30000</v>
      </c>
      <c r="M43" s="188" t="s">
        <v>5</v>
      </c>
      <c r="N43" s="86"/>
      <c r="O43" s="90"/>
    </row>
    <row r="44" spans="1:16" ht="24.75" customHeight="1">
      <c r="A44" s="74" t="s">
        <v>8</v>
      </c>
      <c r="B44" s="98"/>
      <c r="C44" s="98"/>
      <c r="D44" s="102">
        <v>176000</v>
      </c>
      <c r="E44" s="98"/>
      <c r="F44" s="99">
        <v>176000</v>
      </c>
      <c r="G44" s="77" t="e">
        <f>'sumář odbory'!#REF!</f>
        <v>#REF!</v>
      </c>
      <c r="H44" s="77"/>
      <c r="I44" s="96"/>
      <c r="J44" s="165" t="e">
        <f t="shared" si="2"/>
        <v>#REF!</v>
      </c>
      <c r="K44" s="165"/>
      <c r="L44" s="174">
        <v>158400</v>
      </c>
      <c r="M44" s="188" t="s">
        <v>7</v>
      </c>
      <c r="N44" s="86"/>
      <c r="P44" s="90"/>
    </row>
    <row r="45" spans="1:15" ht="24.75" customHeight="1">
      <c r="A45" s="74" t="s">
        <v>9</v>
      </c>
      <c r="B45" s="75"/>
      <c r="C45" s="75"/>
      <c r="D45" s="75"/>
      <c r="E45" s="75"/>
      <c r="F45" s="99"/>
      <c r="G45" s="77" t="e">
        <f>'sumář odbory'!#REF!</f>
        <v>#REF!</v>
      </c>
      <c r="H45" s="77"/>
      <c r="I45" s="96"/>
      <c r="J45" s="165" t="e">
        <f t="shared" si="2"/>
        <v>#REF!</v>
      </c>
      <c r="K45" s="165"/>
      <c r="L45" s="174">
        <v>-176000</v>
      </c>
      <c r="M45" s="188" t="s">
        <v>7</v>
      </c>
      <c r="N45" s="86"/>
      <c r="O45" s="90"/>
    </row>
    <row r="46" spans="1:14" ht="24.75" customHeight="1">
      <c r="A46" s="74" t="s">
        <v>8</v>
      </c>
      <c r="B46" s="75">
        <v>176000</v>
      </c>
      <c r="C46" s="299">
        <v>84000</v>
      </c>
      <c r="D46" s="299"/>
      <c r="E46" s="299">
        <v>84000</v>
      </c>
      <c r="F46" s="310"/>
      <c r="G46" s="77">
        <v>350000</v>
      </c>
      <c r="H46" s="77"/>
      <c r="I46" s="96"/>
      <c r="J46" s="165">
        <f t="shared" si="2"/>
        <v>350000</v>
      </c>
      <c r="K46" s="165">
        <v>30000</v>
      </c>
      <c r="L46" s="174">
        <v>380000</v>
      </c>
      <c r="M46" s="222" t="s">
        <v>646</v>
      </c>
      <c r="N46" s="86"/>
    </row>
    <row r="47" spans="1:15" ht="54" customHeight="1">
      <c r="A47" s="74" t="s">
        <v>9</v>
      </c>
      <c r="B47" s="75">
        <v>-94201</v>
      </c>
      <c r="C47" s="299">
        <v>-94369</v>
      </c>
      <c r="D47" s="299"/>
      <c r="E47" s="299">
        <v>-73760</v>
      </c>
      <c r="F47" s="310"/>
      <c r="G47" s="77" t="e">
        <f>'sumář odbory'!#REF!</f>
        <v>#REF!</v>
      </c>
      <c r="H47" s="77"/>
      <c r="I47" s="96"/>
      <c r="J47" s="165" t="e">
        <f t="shared" si="2"/>
        <v>#REF!</v>
      </c>
      <c r="K47" s="165"/>
      <c r="L47" s="174">
        <v>-172645</v>
      </c>
      <c r="M47" s="240" t="s">
        <v>353</v>
      </c>
      <c r="O47" s="178"/>
    </row>
    <row r="48" spans="10:15" ht="12.75">
      <c r="J48" s="100"/>
      <c r="O48" s="86"/>
    </row>
    <row r="49" ht="12.75">
      <c r="J49" s="100"/>
    </row>
    <row r="50" spans="10:12" ht="12.75">
      <c r="J50" s="73"/>
      <c r="K50" s="73"/>
      <c r="L50" s="73"/>
    </row>
    <row r="51" spans="10:14" ht="12.75">
      <c r="J51" s="100"/>
      <c r="N51" s="86"/>
    </row>
    <row r="52" ht="12.75">
      <c r="J52" s="100"/>
    </row>
    <row r="53" ht="12.75">
      <c r="J53" s="100"/>
    </row>
    <row r="54" ht="12.75">
      <c r="J54" s="100"/>
    </row>
    <row r="55" ht="12.75">
      <c r="J55" s="100"/>
    </row>
    <row r="56" ht="12.75">
      <c r="J56" s="100"/>
    </row>
    <row r="57" ht="12.75">
      <c r="J57" s="100"/>
    </row>
    <row r="58" ht="12.75">
      <c r="J58" s="100"/>
    </row>
    <row r="59" ht="12.75">
      <c r="J59" s="100"/>
    </row>
    <row r="60" ht="12.75">
      <c r="J60" s="100"/>
    </row>
    <row r="61" ht="12.75">
      <c r="J61" s="100"/>
    </row>
  </sheetData>
  <sheetProtection/>
  <mergeCells count="59">
    <mergeCell ref="C47:D47"/>
    <mergeCell ref="E47:F47"/>
    <mergeCell ref="C42:D42"/>
    <mergeCell ref="E42:F42"/>
    <mergeCell ref="C43:D43"/>
    <mergeCell ref="E43:F43"/>
    <mergeCell ref="C46:D46"/>
    <mergeCell ref="E46:F46"/>
    <mergeCell ref="E41:F41"/>
    <mergeCell ref="C37:D37"/>
    <mergeCell ref="E37:F37"/>
    <mergeCell ref="C21:D21"/>
    <mergeCell ref="E21:F21"/>
    <mergeCell ref="C34:D34"/>
    <mergeCell ref="E34:F34"/>
    <mergeCell ref="C22:D22"/>
    <mergeCell ref="E22:F22"/>
    <mergeCell ref="C23:D23"/>
    <mergeCell ref="E23:F23"/>
    <mergeCell ref="C18:D18"/>
    <mergeCell ref="E18:F18"/>
    <mergeCell ref="C36:D36"/>
    <mergeCell ref="E36:F36"/>
    <mergeCell ref="C19:D19"/>
    <mergeCell ref="E19:F19"/>
    <mergeCell ref="C20:D20"/>
    <mergeCell ref="E20:F20"/>
    <mergeCell ref="C17:D17"/>
    <mergeCell ref="E17:F17"/>
    <mergeCell ref="C14:D14"/>
    <mergeCell ref="E14:F14"/>
    <mergeCell ref="C15:D15"/>
    <mergeCell ref="E15:F15"/>
    <mergeCell ref="C9:D9"/>
    <mergeCell ref="E9:F9"/>
    <mergeCell ref="C10:D10"/>
    <mergeCell ref="E10:F10"/>
    <mergeCell ref="C13:D13"/>
    <mergeCell ref="E13:F13"/>
    <mergeCell ref="C11:D11"/>
    <mergeCell ref="E11:F11"/>
    <mergeCell ref="C12:D12"/>
    <mergeCell ref="E12:F12"/>
    <mergeCell ref="C3:D3"/>
    <mergeCell ref="E3:F3"/>
    <mergeCell ref="C5:D5"/>
    <mergeCell ref="E5:F5"/>
    <mergeCell ref="C4:D4"/>
    <mergeCell ref="E4:F4"/>
    <mergeCell ref="C1:D1"/>
    <mergeCell ref="E1:F1"/>
    <mergeCell ref="C2:D2"/>
    <mergeCell ref="E2:F2"/>
    <mergeCell ref="C8:D8"/>
    <mergeCell ref="E8:F8"/>
    <mergeCell ref="C6:D6"/>
    <mergeCell ref="E6:F6"/>
    <mergeCell ref="C7:D7"/>
    <mergeCell ref="E7:F7"/>
  </mergeCells>
  <printOptions/>
  <pageMargins left="1.69" right="0.16" top="1.63" bottom="0.23" header="0.72" footer="0.23"/>
  <pageSetup horizontalDpi="300" verticalDpi="300" orientation="portrait" paperSize="9" scale="69" r:id="rId1"/>
  <headerFooter alignWithMargins="0">
    <oddHeader>&amp;L&amp;"Arial,Tučné"v tis. Kč&amp;C&amp;"Arial,Tučné"&amp;12Schválený  rozpočet  rok 2013 - rekapitulace příjmů, výdajů a financování  &amp;R&amp;"Arial,Tučné"Příloha č. 1</oddHeader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79" sqref="P79"/>
    </sheetView>
  </sheetViews>
  <sheetFormatPr defaultColWidth="9.140625" defaultRowHeight="12.75" outlineLevelRow="1" outlineLevelCol="1"/>
  <cols>
    <col min="1" max="1" width="80.00390625" style="104" customWidth="1"/>
    <col min="2" max="2" width="15.421875" style="104" hidden="1" customWidth="1"/>
    <col min="3" max="4" width="13.140625" style="104" hidden="1" customWidth="1"/>
    <col min="5" max="5" width="7.57421875" style="104" hidden="1" customWidth="1"/>
    <col min="6" max="6" width="13.00390625" style="104" hidden="1" customWidth="1"/>
    <col min="7" max="7" width="15.28125" style="104" hidden="1" customWidth="1" outlineLevel="1"/>
    <col min="8" max="8" width="15.8515625" style="104" hidden="1" customWidth="1"/>
    <col min="9" max="9" width="17.421875" style="122" hidden="1" customWidth="1" outlineLevel="1"/>
    <col min="10" max="10" width="6.7109375" style="122" hidden="1" customWidth="1" outlineLevel="1"/>
    <col min="11" max="11" width="18.7109375" style="122" hidden="1" customWidth="1" outlineLevel="1"/>
    <col min="12" max="12" width="18.421875" style="104" customWidth="1" collapsed="1"/>
    <col min="13" max="13" width="17.8515625" style="104" customWidth="1"/>
    <col min="14" max="14" width="11.7109375" style="104" bestFit="1" customWidth="1"/>
    <col min="15" max="16384" width="9.140625" style="104" customWidth="1"/>
  </cols>
  <sheetData>
    <row r="1" spans="1:12" ht="100.5" customHeight="1">
      <c r="A1" s="198" t="s">
        <v>365</v>
      </c>
      <c r="B1" s="199" t="s">
        <v>379</v>
      </c>
      <c r="C1" s="200" t="s">
        <v>472</v>
      </c>
      <c r="D1" s="200" t="s">
        <v>473</v>
      </c>
      <c r="E1" s="201" t="s">
        <v>474</v>
      </c>
      <c r="F1" s="200" t="s">
        <v>475</v>
      </c>
      <c r="G1" s="202" t="s">
        <v>99</v>
      </c>
      <c r="H1" s="156" t="s">
        <v>393</v>
      </c>
      <c r="I1" s="159" t="s">
        <v>342</v>
      </c>
      <c r="J1" s="159" t="s">
        <v>391</v>
      </c>
      <c r="K1" s="199" t="s">
        <v>379</v>
      </c>
      <c r="L1" s="166" t="s">
        <v>460</v>
      </c>
    </row>
    <row r="2" spans="1:12" ht="24.75" customHeight="1">
      <c r="A2" s="223" t="s">
        <v>476</v>
      </c>
      <c r="B2" s="105">
        <v>247000000</v>
      </c>
      <c r="C2" s="105">
        <v>247000000</v>
      </c>
      <c r="D2" s="105">
        <v>202176822.65</v>
      </c>
      <c r="E2" s="106">
        <f aca="true" t="shared" si="0" ref="E2:E11">D2/C2*100</f>
        <v>81.85296463562753</v>
      </c>
      <c r="F2" s="136">
        <f>246590000</f>
        <v>246590000</v>
      </c>
      <c r="G2" s="149">
        <v>5000</v>
      </c>
      <c r="H2" s="155">
        <v>251590</v>
      </c>
      <c r="I2" s="149">
        <v>261608</v>
      </c>
      <c r="J2" s="149">
        <f>I2-H2</f>
        <v>10018</v>
      </c>
      <c r="K2" s="195">
        <f aca="true" t="shared" si="1" ref="K2:K8">B2/1000</f>
        <v>247000</v>
      </c>
      <c r="L2" s="195">
        <f aca="true" t="shared" si="2" ref="L2:L8">I2</f>
        <v>261608</v>
      </c>
    </row>
    <row r="3" spans="1:12" ht="24.75" customHeight="1">
      <c r="A3" s="223" t="s">
        <v>477</v>
      </c>
      <c r="B3" s="105">
        <v>60000000</v>
      </c>
      <c r="C3" s="105">
        <v>30023000</v>
      </c>
      <c r="D3" s="105">
        <v>11921840.5</v>
      </c>
      <c r="E3" s="106">
        <f t="shared" si="0"/>
        <v>39.709024747693434</v>
      </c>
      <c r="F3" s="136">
        <v>38360000</v>
      </c>
      <c r="G3" s="149"/>
      <c r="H3" s="149">
        <v>38360</v>
      </c>
      <c r="I3" s="149">
        <v>16000</v>
      </c>
      <c r="J3" s="149">
        <f>I3-H3</f>
        <v>-22360</v>
      </c>
      <c r="K3" s="195">
        <f t="shared" si="1"/>
        <v>60000</v>
      </c>
      <c r="L3" s="195">
        <f t="shared" si="2"/>
        <v>16000</v>
      </c>
    </row>
    <row r="4" spans="1:12" ht="24.75" customHeight="1">
      <c r="A4" s="223" t="s">
        <v>478</v>
      </c>
      <c r="B4" s="105">
        <v>23000000</v>
      </c>
      <c r="C4" s="105">
        <v>23000000</v>
      </c>
      <c r="D4" s="105">
        <v>20894640.57</v>
      </c>
      <c r="E4" s="106">
        <f t="shared" si="0"/>
        <v>90.84626334782608</v>
      </c>
      <c r="F4" s="136">
        <v>18370000</v>
      </c>
      <c r="G4" s="149"/>
      <c r="H4" s="149">
        <v>18370</v>
      </c>
      <c r="I4" s="149">
        <v>24305</v>
      </c>
      <c r="J4" s="149">
        <f>I4-H4</f>
        <v>5935</v>
      </c>
      <c r="K4" s="195">
        <f t="shared" si="1"/>
        <v>23000</v>
      </c>
      <c r="L4" s="195">
        <f t="shared" si="2"/>
        <v>24305</v>
      </c>
    </row>
    <row r="5" spans="1:12" ht="24.75" customHeight="1">
      <c r="A5" s="223" t="s">
        <v>479</v>
      </c>
      <c r="B5" s="105">
        <v>220000000</v>
      </c>
      <c r="C5" s="105">
        <v>204023500</v>
      </c>
      <c r="D5" s="105">
        <v>217927237</v>
      </c>
      <c r="E5" s="106">
        <f t="shared" si="0"/>
        <v>106.81477231789475</v>
      </c>
      <c r="F5" s="136">
        <v>196850000</v>
      </c>
      <c r="G5" s="149"/>
      <c r="H5" s="149">
        <v>196850</v>
      </c>
      <c r="I5" s="149">
        <v>221785</v>
      </c>
      <c r="J5" s="149">
        <f>I5-H5</f>
        <v>24935</v>
      </c>
      <c r="K5" s="195">
        <f t="shared" si="1"/>
        <v>220000</v>
      </c>
      <c r="L5" s="195">
        <f>I5+1973-400.5</f>
        <v>223357.5</v>
      </c>
    </row>
    <row r="6" spans="1:12" ht="23.25" customHeight="1">
      <c r="A6" s="223" t="s">
        <v>331</v>
      </c>
      <c r="B6" s="105">
        <v>111186000</v>
      </c>
      <c r="C6" s="105">
        <v>103286000</v>
      </c>
      <c r="D6" s="105">
        <v>109441710</v>
      </c>
      <c r="E6" s="106">
        <f t="shared" si="0"/>
        <v>105.95986871405611</v>
      </c>
      <c r="F6" s="136">
        <v>111186000</v>
      </c>
      <c r="G6" s="149"/>
      <c r="H6" s="149">
        <v>111186</v>
      </c>
      <c r="I6" s="149">
        <v>111186</v>
      </c>
      <c r="J6" s="149"/>
      <c r="K6" s="195">
        <f t="shared" si="1"/>
        <v>111186</v>
      </c>
      <c r="L6" s="195">
        <f t="shared" si="2"/>
        <v>111186</v>
      </c>
    </row>
    <row r="7" spans="1:12" ht="24.75" customHeight="1">
      <c r="A7" s="223" t="s">
        <v>480</v>
      </c>
      <c r="B7" s="105">
        <v>535000000</v>
      </c>
      <c r="C7" s="105">
        <v>512136000</v>
      </c>
      <c r="D7" s="105">
        <v>374031169</v>
      </c>
      <c r="E7" s="106">
        <f t="shared" si="0"/>
        <v>73.03356315509943</v>
      </c>
      <c r="F7" s="136">
        <v>512250000</v>
      </c>
      <c r="G7" s="149"/>
      <c r="H7" s="149">
        <v>512250</v>
      </c>
      <c r="I7" s="149">
        <v>473737</v>
      </c>
      <c r="J7" s="149">
        <f>I7-H7</f>
        <v>-38513</v>
      </c>
      <c r="K7" s="195">
        <f t="shared" si="1"/>
        <v>535000</v>
      </c>
      <c r="L7" s="195">
        <f>I7</f>
        <v>473737</v>
      </c>
    </row>
    <row r="8" spans="1:12" ht="24.75" customHeight="1">
      <c r="A8" s="223" t="s">
        <v>481</v>
      </c>
      <c r="B8" s="105">
        <v>82000000</v>
      </c>
      <c r="C8" s="105">
        <v>82000000</v>
      </c>
      <c r="D8" s="105">
        <v>54238740.72</v>
      </c>
      <c r="E8" s="106">
        <f t="shared" si="0"/>
        <v>66.14480575609755</v>
      </c>
      <c r="F8" s="136">
        <v>80000000</v>
      </c>
      <c r="G8" s="149"/>
      <c r="H8" s="149">
        <v>80000</v>
      </c>
      <c r="I8" s="149">
        <v>80000</v>
      </c>
      <c r="J8" s="149"/>
      <c r="K8" s="195">
        <f t="shared" si="1"/>
        <v>82000</v>
      </c>
      <c r="L8" s="195">
        <f t="shared" si="2"/>
        <v>80000</v>
      </c>
    </row>
    <row r="9" spans="1:12" ht="24.75" customHeight="1">
      <c r="A9" s="107" t="s">
        <v>482</v>
      </c>
      <c r="B9" s="108">
        <f>SUM(B2:B8)</f>
        <v>1278186000</v>
      </c>
      <c r="C9" s="108">
        <f aca="true" t="shared" si="3" ref="C9:J9">SUM(C2:C8)</f>
        <v>1201468500</v>
      </c>
      <c r="D9" s="108">
        <f t="shared" si="3"/>
        <v>990632160.44</v>
      </c>
      <c r="E9" s="108">
        <f t="shared" si="3"/>
        <v>564.361262674295</v>
      </c>
      <c r="F9" s="108">
        <f t="shared" si="3"/>
        <v>1203606000</v>
      </c>
      <c r="G9" s="108">
        <f t="shared" si="3"/>
        <v>5000</v>
      </c>
      <c r="H9" s="108">
        <f t="shared" si="3"/>
        <v>1208606</v>
      </c>
      <c r="I9" s="108">
        <f t="shared" si="3"/>
        <v>1188621</v>
      </c>
      <c r="J9" s="108">
        <f t="shared" si="3"/>
        <v>-19985</v>
      </c>
      <c r="K9" s="189">
        <f>SUM(K2:K8)</f>
        <v>1278186</v>
      </c>
      <c r="L9" s="190">
        <f>SUM(L2:L8)</f>
        <v>1190193.5</v>
      </c>
    </row>
    <row r="10" spans="1:12" ht="24.75" customHeight="1">
      <c r="A10" s="223" t="s">
        <v>483</v>
      </c>
      <c r="B10" s="105">
        <v>50000</v>
      </c>
      <c r="C10" s="105">
        <v>50000</v>
      </c>
      <c r="D10" s="105">
        <v>92300</v>
      </c>
      <c r="E10" s="106">
        <f t="shared" si="0"/>
        <v>184.60000000000002</v>
      </c>
      <c r="F10" s="136">
        <v>80000</v>
      </c>
      <c r="G10" s="149"/>
      <c r="H10" s="149">
        <f>F10/1000</f>
        <v>80</v>
      </c>
      <c r="I10" s="149"/>
      <c r="J10" s="149"/>
      <c r="K10" s="195">
        <f aca="true" t="shared" si="4" ref="K10:K22">B10/1000</f>
        <v>50</v>
      </c>
      <c r="L10" s="195">
        <f>H10+J10</f>
        <v>80</v>
      </c>
    </row>
    <row r="11" spans="1:13" ht="24.75" customHeight="1">
      <c r="A11" s="223" t="s">
        <v>484</v>
      </c>
      <c r="B11" s="105">
        <v>100000</v>
      </c>
      <c r="C11" s="105">
        <v>100000</v>
      </c>
      <c r="D11" s="105">
        <v>394049</v>
      </c>
      <c r="E11" s="106">
        <f t="shared" si="0"/>
        <v>394.049</v>
      </c>
      <c r="F11" s="136">
        <v>200000</v>
      </c>
      <c r="G11" s="149"/>
      <c r="H11" s="149">
        <f aca="true" t="shared" si="5" ref="H11:H22">F11/1000</f>
        <v>200</v>
      </c>
      <c r="I11" s="149"/>
      <c r="J11" s="149"/>
      <c r="K11" s="195">
        <f t="shared" si="4"/>
        <v>100</v>
      </c>
      <c r="L11" s="195">
        <v>500</v>
      </c>
      <c r="M11" s="122"/>
    </row>
    <row r="12" spans="1:12" ht="24.75" customHeight="1">
      <c r="A12" s="223" t="s">
        <v>653</v>
      </c>
      <c r="B12" s="105">
        <v>42000000</v>
      </c>
      <c r="C12" s="105">
        <v>42000000</v>
      </c>
      <c r="D12" s="105">
        <v>41785218.69</v>
      </c>
      <c r="E12" s="106">
        <f aca="true" t="shared" si="6" ref="E12:E20">D12/C12*100</f>
        <v>99.48861592857142</v>
      </c>
      <c r="F12" s="136">
        <v>68000000</v>
      </c>
      <c r="G12" s="149">
        <v>4000</v>
      </c>
      <c r="H12" s="149">
        <f>68000+4000</f>
        <v>72000</v>
      </c>
      <c r="I12" s="149"/>
      <c r="J12" s="149"/>
      <c r="K12" s="195">
        <f t="shared" si="4"/>
        <v>42000</v>
      </c>
      <c r="L12" s="195">
        <v>62000</v>
      </c>
    </row>
    <row r="13" spans="1:12" ht="24.75" customHeight="1">
      <c r="A13" s="223" t="s">
        <v>485</v>
      </c>
      <c r="B13" s="105">
        <v>2650000</v>
      </c>
      <c r="C13" s="105">
        <v>2650000</v>
      </c>
      <c r="D13" s="105">
        <v>2361517</v>
      </c>
      <c r="E13" s="106">
        <f t="shared" si="6"/>
        <v>89.11384905660378</v>
      </c>
      <c r="F13" s="136">
        <v>2650000</v>
      </c>
      <c r="G13" s="149"/>
      <c r="H13" s="149">
        <f t="shared" si="5"/>
        <v>2650</v>
      </c>
      <c r="I13" s="149"/>
      <c r="J13" s="149"/>
      <c r="K13" s="195">
        <f t="shared" si="4"/>
        <v>2650</v>
      </c>
      <c r="L13" s="195">
        <f aca="true" t="shared" si="7" ref="L13:L21">H13+J13</f>
        <v>2650</v>
      </c>
    </row>
    <row r="14" spans="1:12" ht="24.75" customHeight="1">
      <c r="A14" s="223" t="s">
        <v>150</v>
      </c>
      <c r="B14" s="105">
        <v>700000</v>
      </c>
      <c r="C14" s="105">
        <v>700000</v>
      </c>
      <c r="D14" s="105">
        <v>628830</v>
      </c>
      <c r="E14" s="106">
        <f t="shared" si="6"/>
        <v>89.83285714285715</v>
      </c>
      <c r="F14" s="138">
        <v>700000</v>
      </c>
      <c r="G14" s="149"/>
      <c r="H14" s="149">
        <f t="shared" si="5"/>
        <v>700</v>
      </c>
      <c r="I14" s="149"/>
      <c r="J14" s="149"/>
      <c r="K14" s="195">
        <f t="shared" si="4"/>
        <v>700</v>
      </c>
      <c r="L14" s="195">
        <f t="shared" si="7"/>
        <v>700</v>
      </c>
    </row>
    <row r="15" spans="1:12" ht="24.75" customHeight="1">
      <c r="A15" s="223" t="s">
        <v>151</v>
      </c>
      <c r="B15" s="105">
        <v>5300000</v>
      </c>
      <c r="C15" s="105">
        <v>5300000</v>
      </c>
      <c r="D15" s="105">
        <v>4880256.58</v>
      </c>
      <c r="E15" s="106">
        <f t="shared" si="6"/>
        <v>92.08031283018869</v>
      </c>
      <c r="F15" s="138">
        <v>5300000</v>
      </c>
      <c r="G15" s="149"/>
      <c r="H15" s="149">
        <f t="shared" si="5"/>
        <v>5300</v>
      </c>
      <c r="I15" s="149"/>
      <c r="J15" s="149"/>
      <c r="K15" s="195">
        <f t="shared" si="4"/>
        <v>5300</v>
      </c>
      <c r="L15" s="195">
        <f t="shared" si="7"/>
        <v>5300</v>
      </c>
    </row>
    <row r="16" spans="1:12" ht="24.75" customHeight="1">
      <c r="A16" s="223" t="s">
        <v>152</v>
      </c>
      <c r="B16" s="105">
        <v>10000</v>
      </c>
      <c r="C16" s="105">
        <v>10000</v>
      </c>
      <c r="D16" s="105">
        <v>7472</v>
      </c>
      <c r="E16" s="106">
        <f t="shared" si="6"/>
        <v>74.72</v>
      </c>
      <c r="F16" s="138">
        <v>10000</v>
      </c>
      <c r="G16" s="149"/>
      <c r="H16" s="149">
        <f t="shared" si="5"/>
        <v>10</v>
      </c>
      <c r="I16" s="149"/>
      <c r="J16" s="149"/>
      <c r="K16" s="195">
        <f t="shared" si="4"/>
        <v>10</v>
      </c>
      <c r="L16" s="195">
        <f t="shared" si="7"/>
        <v>10</v>
      </c>
    </row>
    <row r="17" spans="1:12" ht="24.75" customHeight="1">
      <c r="A17" s="223" t="s">
        <v>153</v>
      </c>
      <c r="B17" s="105">
        <v>1750000</v>
      </c>
      <c r="C17" s="105">
        <v>1750000</v>
      </c>
      <c r="D17" s="105">
        <v>1255674</v>
      </c>
      <c r="E17" s="106">
        <f t="shared" si="6"/>
        <v>71.75280000000001</v>
      </c>
      <c r="F17" s="136">
        <v>1400000</v>
      </c>
      <c r="G17" s="149"/>
      <c r="H17" s="149">
        <f t="shared" si="5"/>
        <v>1400</v>
      </c>
      <c r="I17" s="149"/>
      <c r="J17" s="149"/>
      <c r="K17" s="195">
        <f t="shared" si="4"/>
        <v>1750</v>
      </c>
      <c r="L17" s="195">
        <f t="shared" si="7"/>
        <v>1400</v>
      </c>
    </row>
    <row r="18" spans="1:12" ht="24.75" customHeight="1">
      <c r="A18" s="223" t="s">
        <v>511</v>
      </c>
      <c r="B18" s="105">
        <v>2700000</v>
      </c>
      <c r="C18" s="105">
        <v>2700000</v>
      </c>
      <c r="D18" s="105">
        <v>3952811.21</v>
      </c>
      <c r="E18" s="106">
        <f t="shared" si="6"/>
        <v>146.40041518518518</v>
      </c>
      <c r="F18" s="136">
        <v>4000000</v>
      </c>
      <c r="G18" s="149"/>
      <c r="H18" s="149">
        <f t="shared" si="5"/>
        <v>4000</v>
      </c>
      <c r="I18" s="149"/>
      <c r="J18" s="149"/>
      <c r="K18" s="195">
        <f t="shared" si="4"/>
        <v>2700</v>
      </c>
      <c r="L18" s="195">
        <f t="shared" si="7"/>
        <v>4000</v>
      </c>
    </row>
    <row r="19" spans="1:12" ht="24.75" customHeight="1">
      <c r="A19" s="223" t="s">
        <v>512</v>
      </c>
      <c r="B19" s="105">
        <v>2300000</v>
      </c>
      <c r="C19" s="105">
        <v>2300000</v>
      </c>
      <c r="D19" s="105">
        <v>2254550</v>
      </c>
      <c r="E19" s="106">
        <f t="shared" si="6"/>
        <v>98.02391304347826</v>
      </c>
      <c r="F19" s="136">
        <v>2300000</v>
      </c>
      <c r="G19" s="149"/>
      <c r="H19" s="149">
        <f t="shared" si="5"/>
        <v>2300</v>
      </c>
      <c r="I19" s="149"/>
      <c r="J19" s="149"/>
      <c r="K19" s="195">
        <f t="shared" si="4"/>
        <v>2300</v>
      </c>
      <c r="L19" s="195">
        <f t="shared" si="7"/>
        <v>2300</v>
      </c>
    </row>
    <row r="20" spans="1:12" ht="24.75" customHeight="1">
      <c r="A20" s="223" t="s">
        <v>647</v>
      </c>
      <c r="B20" s="105">
        <v>0</v>
      </c>
      <c r="C20" s="105">
        <v>76226606</v>
      </c>
      <c r="D20" s="105">
        <v>49744496.26</v>
      </c>
      <c r="E20" s="106">
        <f t="shared" si="6"/>
        <v>65.25870541842043</v>
      </c>
      <c r="F20" s="136">
        <v>80000000</v>
      </c>
      <c r="G20" s="149"/>
      <c r="H20" s="149">
        <f t="shared" si="5"/>
        <v>80000</v>
      </c>
      <c r="I20" s="149"/>
      <c r="J20" s="149"/>
      <c r="K20" s="195">
        <f t="shared" si="4"/>
        <v>0</v>
      </c>
      <c r="L20" s="195">
        <f t="shared" si="7"/>
        <v>80000</v>
      </c>
    </row>
    <row r="21" spans="1:12" ht="24.75" customHeight="1">
      <c r="A21" s="225" t="s">
        <v>513</v>
      </c>
      <c r="B21" s="105">
        <v>5000000</v>
      </c>
      <c r="C21" s="105">
        <v>156000</v>
      </c>
      <c r="D21" s="105">
        <v>170100</v>
      </c>
      <c r="E21" s="106">
        <f aca="true" t="shared" si="8" ref="E21:E28">D21/C21*100</f>
        <v>109.03846153846153</v>
      </c>
      <c r="F21" s="136">
        <v>150000</v>
      </c>
      <c r="G21" s="149"/>
      <c r="H21" s="149">
        <f t="shared" si="5"/>
        <v>150</v>
      </c>
      <c r="I21" s="149"/>
      <c r="J21" s="149"/>
      <c r="K21" s="195">
        <f t="shared" si="4"/>
        <v>5000</v>
      </c>
      <c r="L21" s="195">
        <f t="shared" si="7"/>
        <v>150</v>
      </c>
    </row>
    <row r="22" spans="1:12" ht="45.75" customHeight="1">
      <c r="A22" s="223" t="s">
        <v>654</v>
      </c>
      <c r="B22" s="105">
        <v>21424000</v>
      </c>
      <c r="C22" s="105">
        <v>21424000</v>
      </c>
      <c r="D22" s="105">
        <v>21232036.6</v>
      </c>
      <c r="E22" s="106">
        <f t="shared" si="8"/>
        <v>99.1039796489918</v>
      </c>
      <c r="F22" s="136">
        <v>21412000</v>
      </c>
      <c r="G22" s="149"/>
      <c r="H22" s="149">
        <f t="shared" si="5"/>
        <v>21412</v>
      </c>
      <c r="I22" s="149"/>
      <c r="J22" s="149"/>
      <c r="K22" s="195">
        <f t="shared" si="4"/>
        <v>21424</v>
      </c>
      <c r="L22" s="195">
        <v>25412</v>
      </c>
    </row>
    <row r="23" spans="1:12" ht="24.75" customHeight="1">
      <c r="A23" s="107" t="s">
        <v>514</v>
      </c>
      <c r="B23" s="108">
        <f>SUM(B10:B22)</f>
        <v>83984000</v>
      </c>
      <c r="C23" s="108">
        <f>SUM(C10:C22)</f>
        <v>155366606</v>
      </c>
      <c r="D23" s="108">
        <f>SUM(D10:D22)</f>
        <v>128759311.34</v>
      </c>
      <c r="E23" s="108">
        <f t="shared" si="8"/>
        <v>82.87450865728509</v>
      </c>
      <c r="F23" s="137">
        <f>SUM(F10:F22)</f>
        <v>186202000</v>
      </c>
      <c r="G23" s="148">
        <f>SUM(G10:G22)</f>
        <v>4000</v>
      </c>
      <c r="H23" s="150">
        <f>SUM(H10:H22)</f>
        <v>190202</v>
      </c>
      <c r="I23" s="150">
        <f>SUM(I10:I22)</f>
        <v>0</v>
      </c>
      <c r="J23" s="150"/>
      <c r="K23" s="191">
        <v>103984</v>
      </c>
      <c r="L23" s="191">
        <f>SUM(L10:L22)</f>
        <v>184502</v>
      </c>
    </row>
    <row r="24" spans="1:12" ht="24.75" customHeight="1">
      <c r="A24" s="109" t="s">
        <v>515</v>
      </c>
      <c r="B24" s="110">
        <f>B9+B23</f>
        <v>1362170000</v>
      </c>
      <c r="C24" s="110">
        <f>C9+C23</f>
        <v>1356835106</v>
      </c>
      <c r="D24" s="110">
        <f>D9+D23</f>
        <v>1119391471.78</v>
      </c>
      <c r="E24" s="110">
        <f t="shared" si="8"/>
        <v>82.50018493993771</v>
      </c>
      <c r="F24" s="139">
        <f>F9+F23</f>
        <v>1389808000</v>
      </c>
      <c r="G24" s="153">
        <f>G9+G23</f>
        <v>9000</v>
      </c>
      <c r="H24" s="151">
        <f>F24/1000+G24</f>
        <v>1398808</v>
      </c>
      <c r="I24" s="154"/>
      <c r="J24" s="154">
        <f>J9</f>
        <v>-19985</v>
      </c>
      <c r="K24" s="196">
        <v>1382170</v>
      </c>
      <c r="L24" s="196">
        <f>L23+L9</f>
        <v>1374695.5</v>
      </c>
    </row>
    <row r="25" spans="1:12" ht="24.75" customHeight="1">
      <c r="A25" s="223" t="s">
        <v>516</v>
      </c>
      <c r="B25" s="105">
        <v>1500000</v>
      </c>
      <c r="C25" s="105">
        <v>1500000</v>
      </c>
      <c r="D25" s="105">
        <v>1343180</v>
      </c>
      <c r="E25" s="106">
        <f t="shared" si="8"/>
        <v>89.54533333333333</v>
      </c>
      <c r="F25" s="136">
        <v>1500000</v>
      </c>
      <c r="G25" s="149"/>
      <c r="H25" s="149">
        <f>F25/1000</f>
        <v>1500</v>
      </c>
      <c r="I25" s="149"/>
      <c r="J25" s="149"/>
      <c r="K25" s="195">
        <f aca="true" t="shared" si="9" ref="K25:K48">B25/1000</f>
        <v>1500</v>
      </c>
      <c r="L25" s="195">
        <f>H25+J25</f>
        <v>1500</v>
      </c>
    </row>
    <row r="26" spans="1:12" ht="24.75" customHeight="1">
      <c r="A26" s="223" t="s">
        <v>517</v>
      </c>
      <c r="B26" s="105">
        <v>780000</v>
      </c>
      <c r="C26" s="105">
        <v>780000</v>
      </c>
      <c r="D26" s="105">
        <v>701501</v>
      </c>
      <c r="E26" s="106">
        <f t="shared" si="8"/>
        <v>89.93602564102564</v>
      </c>
      <c r="F26" s="136">
        <v>700000</v>
      </c>
      <c r="G26" s="149"/>
      <c r="H26" s="149">
        <f aca="true" t="shared" si="10" ref="H26:H48">F26/1000</f>
        <v>700</v>
      </c>
      <c r="I26" s="149"/>
      <c r="J26" s="149"/>
      <c r="K26" s="195">
        <f t="shared" si="9"/>
        <v>780</v>
      </c>
      <c r="L26" s="195">
        <f aca="true" t="shared" si="11" ref="L26:L48">H26+J26</f>
        <v>700</v>
      </c>
    </row>
    <row r="27" spans="1:12" ht="24.75" customHeight="1">
      <c r="A27" s="223" t="s">
        <v>518</v>
      </c>
      <c r="B27" s="105">
        <v>53000</v>
      </c>
      <c r="C27" s="105">
        <v>53000</v>
      </c>
      <c r="D27" s="105">
        <v>34440</v>
      </c>
      <c r="E27" s="106">
        <f t="shared" si="8"/>
        <v>64.98113207547169</v>
      </c>
      <c r="F27" s="136">
        <v>50000</v>
      </c>
      <c r="G27" s="149"/>
      <c r="H27" s="149">
        <f t="shared" si="10"/>
        <v>50</v>
      </c>
      <c r="I27" s="149"/>
      <c r="J27" s="149"/>
      <c r="K27" s="195">
        <f t="shared" si="9"/>
        <v>53</v>
      </c>
      <c r="L27" s="195">
        <f t="shared" si="11"/>
        <v>50</v>
      </c>
    </row>
    <row r="28" spans="1:12" ht="24.75" customHeight="1">
      <c r="A28" s="223" t="s">
        <v>519</v>
      </c>
      <c r="B28" s="105">
        <v>300000</v>
      </c>
      <c r="C28" s="105">
        <v>300000</v>
      </c>
      <c r="D28" s="105">
        <v>295730</v>
      </c>
      <c r="E28" s="106">
        <f t="shared" si="8"/>
        <v>98.57666666666667</v>
      </c>
      <c r="F28" s="138">
        <v>300000</v>
      </c>
      <c r="G28" s="149"/>
      <c r="H28" s="149">
        <f t="shared" si="10"/>
        <v>300</v>
      </c>
      <c r="I28" s="149"/>
      <c r="J28" s="149"/>
      <c r="K28" s="195">
        <f t="shared" si="9"/>
        <v>300</v>
      </c>
      <c r="L28" s="195">
        <f t="shared" si="11"/>
        <v>300</v>
      </c>
    </row>
    <row r="29" spans="1:12" ht="24.75" customHeight="1">
      <c r="A29" s="223" t="s">
        <v>520</v>
      </c>
      <c r="B29" s="105">
        <v>5000</v>
      </c>
      <c r="C29" s="105">
        <v>5000</v>
      </c>
      <c r="D29" s="105">
        <v>2005</v>
      </c>
      <c r="E29" s="106">
        <f aca="true" t="shared" si="12" ref="E29:E36">D29/C29*100</f>
        <v>40.1</v>
      </c>
      <c r="F29" s="136">
        <v>5000</v>
      </c>
      <c r="G29" s="149"/>
      <c r="H29" s="149">
        <f t="shared" si="10"/>
        <v>5</v>
      </c>
      <c r="I29" s="149"/>
      <c r="J29" s="149"/>
      <c r="K29" s="195">
        <f t="shared" si="9"/>
        <v>5</v>
      </c>
      <c r="L29" s="195">
        <f t="shared" si="11"/>
        <v>5</v>
      </c>
    </row>
    <row r="30" spans="1:12" ht="24.75" customHeight="1">
      <c r="A30" s="223" t="s">
        <v>521</v>
      </c>
      <c r="B30" s="105">
        <v>2000</v>
      </c>
      <c r="C30" s="105">
        <v>2000</v>
      </c>
      <c r="D30" s="105">
        <v>1655</v>
      </c>
      <c r="E30" s="106">
        <f t="shared" si="12"/>
        <v>82.75</v>
      </c>
      <c r="F30" s="136">
        <v>2000</v>
      </c>
      <c r="G30" s="149"/>
      <c r="H30" s="149">
        <f t="shared" si="10"/>
        <v>2</v>
      </c>
      <c r="I30" s="149"/>
      <c r="J30" s="149"/>
      <c r="K30" s="195">
        <f t="shared" si="9"/>
        <v>2</v>
      </c>
      <c r="L30" s="195">
        <f t="shared" si="11"/>
        <v>2</v>
      </c>
    </row>
    <row r="31" spans="1:12" ht="24.75" customHeight="1">
      <c r="A31" s="223" t="s">
        <v>650</v>
      </c>
      <c r="B31" s="105">
        <v>2475000</v>
      </c>
      <c r="C31" s="105">
        <v>2688018.99</v>
      </c>
      <c r="D31" s="105">
        <v>2475000</v>
      </c>
      <c r="E31" s="106">
        <f t="shared" si="12"/>
        <v>92.07524237021852</v>
      </c>
      <c r="F31" s="136">
        <v>0</v>
      </c>
      <c r="G31" s="149"/>
      <c r="H31" s="149">
        <f t="shared" si="10"/>
        <v>0</v>
      </c>
      <c r="I31" s="149"/>
      <c r="J31" s="149"/>
      <c r="K31" s="195">
        <f t="shared" si="9"/>
        <v>2475</v>
      </c>
      <c r="L31" s="195">
        <v>3349</v>
      </c>
    </row>
    <row r="32" spans="1:12" ht="24.75" customHeight="1">
      <c r="A32" s="223" t="s">
        <v>522</v>
      </c>
      <c r="B32" s="105">
        <v>1719000</v>
      </c>
      <c r="C32" s="105">
        <v>1795932.48</v>
      </c>
      <c r="D32" s="105">
        <v>1719500</v>
      </c>
      <c r="E32" s="106">
        <f t="shared" si="12"/>
        <v>95.74413398882345</v>
      </c>
      <c r="F32" s="136">
        <v>0</v>
      </c>
      <c r="G32" s="149"/>
      <c r="H32" s="149">
        <f t="shared" si="10"/>
        <v>0</v>
      </c>
      <c r="I32" s="149"/>
      <c r="J32" s="149"/>
      <c r="K32" s="195">
        <f t="shared" si="9"/>
        <v>1719</v>
      </c>
      <c r="L32" s="195">
        <v>2050</v>
      </c>
    </row>
    <row r="33" spans="1:12" ht="24.75" customHeight="1">
      <c r="A33" s="223" t="s">
        <v>523</v>
      </c>
      <c r="B33" s="105">
        <v>550000</v>
      </c>
      <c r="C33" s="105">
        <v>550000</v>
      </c>
      <c r="D33" s="105">
        <v>439500</v>
      </c>
      <c r="E33" s="106">
        <f t="shared" si="12"/>
        <v>79.9090909090909</v>
      </c>
      <c r="F33" s="138">
        <v>500000</v>
      </c>
      <c r="G33" s="149"/>
      <c r="H33" s="149">
        <f t="shared" si="10"/>
        <v>500</v>
      </c>
      <c r="I33" s="149"/>
      <c r="J33" s="149"/>
      <c r="K33" s="195">
        <f t="shared" si="9"/>
        <v>550</v>
      </c>
      <c r="L33" s="195">
        <f t="shared" si="11"/>
        <v>500</v>
      </c>
    </row>
    <row r="34" spans="1:12" ht="24.75" customHeight="1">
      <c r="A34" s="223" t="s">
        <v>157</v>
      </c>
      <c r="B34" s="105">
        <v>10000</v>
      </c>
      <c r="C34" s="105">
        <v>10000</v>
      </c>
      <c r="D34" s="105">
        <v>0</v>
      </c>
      <c r="E34" s="106">
        <f t="shared" si="12"/>
        <v>0</v>
      </c>
      <c r="F34" s="138">
        <v>0</v>
      </c>
      <c r="G34" s="149"/>
      <c r="H34" s="149">
        <f t="shared" si="10"/>
        <v>0</v>
      </c>
      <c r="I34" s="149"/>
      <c r="J34" s="149"/>
      <c r="K34" s="195">
        <f t="shared" si="9"/>
        <v>10</v>
      </c>
      <c r="L34" s="195">
        <v>10</v>
      </c>
    </row>
    <row r="35" spans="1:12" ht="39" customHeight="1">
      <c r="A35" s="224" t="s">
        <v>655</v>
      </c>
      <c r="B35" s="105">
        <v>11067000</v>
      </c>
      <c r="C35" s="105">
        <v>11067000</v>
      </c>
      <c r="D35" s="105">
        <v>7874500</v>
      </c>
      <c r="E35" s="106">
        <f t="shared" si="12"/>
        <v>71.15297731996024</v>
      </c>
      <c r="F35" s="136">
        <v>11067000</v>
      </c>
      <c r="G35" s="149"/>
      <c r="H35" s="149">
        <f t="shared" si="10"/>
        <v>11067</v>
      </c>
      <c r="I35" s="149"/>
      <c r="J35" s="149"/>
      <c r="K35" s="195">
        <f t="shared" si="9"/>
        <v>11067</v>
      </c>
      <c r="L35" s="195">
        <f>H35+J35+812</f>
        <v>11879</v>
      </c>
    </row>
    <row r="36" spans="1:12" ht="24.75" customHeight="1">
      <c r="A36" s="223" t="s">
        <v>216</v>
      </c>
      <c r="B36" s="105">
        <v>1500000</v>
      </c>
      <c r="C36" s="105">
        <v>1500000</v>
      </c>
      <c r="D36" s="105">
        <v>1303051.49</v>
      </c>
      <c r="E36" s="106">
        <f t="shared" si="12"/>
        <v>86.87009933333333</v>
      </c>
      <c r="F36" s="138">
        <v>1300000</v>
      </c>
      <c r="G36" s="149"/>
      <c r="H36" s="149">
        <f t="shared" si="10"/>
        <v>1300</v>
      </c>
      <c r="I36" s="149"/>
      <c r="J36" s="149"/>
      <c r="K36" s="195">
        <f t="shared" si="9"/>
        <v>1500</v>
      </c>
      <c r="L36" s="195">
        <f t="shared" si="11"/>
        <v>1300</v>
      </c>
    </row>
    <row r="37" spans="1:12" ht="39.75" customHeight="1">
      <c r="A37" s="225" t="s">
        <v>648</v>
      </c>
      <c r="B37" s="105">
        <v>760000</v>
      </c>
      <c r="C37" s="105">
        <v>940000</v>
      </c>
      <c r="D37" s="105">
        <v>943817.22</v>
      </c>
      <c r="E37" s="106">
        <f aca="true" t="shared" si="13" ref="E37:E49">D37/C37*100</f>
        <v>100.40608723404254</v>
      </c>
      <c r="F37" s="138">
        <v>800000</v>
      </c>
      <c r="G37" s="149"/>
      <c r="H37" s="149">
        <f t="shared" si="10"/>
        <v>800</v>
      </c>
      <c r="I37" s="149"/>
      <c r="J37" s="149"/>
      <c r="K37" s="195">
        <f t="shared" si="9"/>
        <v>760</v>
      </c>
      <c r="L37" s="195">
        <f t="shared" si="11"/>
        <v>800</v>
      </c>
    </row>
    <row r="38" spans="1:12" ht="24.75" customHeight="1">
      <c r="A38" s="223" t="s">
        <v>217</v>
      </c>
      <c r="B38" s="105">
        <v>500000</v>
      </c>
      <c r="C38" s="105">
        <v>500000</v>
      </c>
      <c r="D38" s="105">
        <v>379000</v>
      </c>
      <c r="E38" s="106">
        <f t="shared" si="13"/>
        <v>75.8</v>
      </c>
      <c r="F38" s="138">
        <v>500000</v>
      </c>
      <c r="G38" s="149"/>
      <c r="H38" s="149">
        <f t="shared" si="10"/>
        <v>500</v>
      </c>
      <c r="I38" s="149"/>
      <c r="J38" s="149"/>
      <c r="K38" s="195">
        <f t="shared" si="9"/>
        <v>500</v>
      </c>
      <c r="L38" s="195">
        <f t="shared" si="11"/>
        <v>500</v>
      </c>
    </row>
    <row r="39" spans="1:12" ht="24.75" customHeight="1">
      <c r="A39" s="223" t="s">
        <v>218</v>
      </c>
      <c r="B39" s="105">
        <v>6500000</v>
      </c>
      <c r="C39" s="105">
        <v>6500000</v>
      </c>
      <c r="D39" s="105">
        <v>5233670.08</v>
      </c>
      <c r="E39" s="106">
        <f t="shared" si="13"/>
        <v>80.51800123076923</v>
      </c>
      <c r="F39" s="138">
        <v>6000000</v>
      </c>
      <c r="G39" s="149"/>
      <c r="H39" s="149">
        <f t="shared" si="10"/>
        <v>6000</v>
      </c>
      <c r="I39" s="149"/>
      <c r="J39" s="149"/>
      <c r="K39" s="195">
        <f t="shared" si="9"/>
        <v>6500</v>
      </c>
      <c r="L39" s="195">
        <f t="shared" si="11"/>
        <v>6000</v>
      </c>
    </row>
    <row r="40" spans="1:12" ht="24.75" customHeight="1">
      <c r="A40" s="223" t="s">
        <v>168</v>
      </c>
      <c r="B40" s="105">
        <v>4500000</v>
      </c>
      <c r="C40" s="105">
        <v>4500000</v>
      </c>
      <c r="D40" s="105">
        <v>4382709</v>
      </c>
      <c r="E40" s="106">
        <f t="shared" si="13"/>
        <v>97.39353333333334</v>
      </c>
      <c r="F40" s="136">
        <v>4500000</v>
      </c>
      <c r="G40" s="149"/>
      <c r="H40" s="149">
        <f t="shared" si="10"/>
        <v>4500</v>
      </c>
      <c r="I40" s="149"/>
      <c r="J40" s="149"/>
      <c r="K40" s="195">
        <f t="shared" si="9"/>
        <v>4500</v>
      </c>
      <c r="L40" s="195">
        <f t="shared" si="11"/>
        <v>4500</v>
      </c>
    </row>
    <row r="41" spans="1:12" ht="24.75" customHeight="1">
      <c r="A41" s="223" t="s">
        <v>169</v>
      </c>
      <c r="B41" s="105">
        <v>265000</v>
      </c>
      <c r="C41" s="105">
        <v>265000</v>
      </c>
      <c r="D41" s="105">
        <v>153494</v>
      </c>
      <c r="E41" s="106">
        <f t="shared" si="13"/>
        <v>57.92226415094339</v>
      </c>
      <c r="F41" s="136">
        <v>190000</v>
      </c>
      <c r="G41" s="149"/>
      <c r="H41" s="149">
        <f t="shared" si="10"/>
        <v>190</v>
      </c>
      <c r="I41" s="149"/>
      <c r="J41" s="149"/>
      <c r="K41" s="195">
        <f t="shared" si="9"/>
        <v>265</v>
      </c>
      <c r="L41" s="195">
        <f t="shared" si="11"/>
        <v>190</v>
      </c>
    </row>
    <row r="42" spans="1:12" ht="24.75" customHeight="1">
      <c r="A42" s="223" t="s">
        <v>651</v>
      </c>
      <c r="B42" s="105">
        <v>5953000</v>
      </c>
      <c r="C42" s="105">
        <v>5953000</v>
      </c>
      <c r="D42" s="105">
        <v>5580024.2</v>
      </c>
      <c r="E42" s="106">
        <f t="shared" si="13"/>
        <v>93.73465815555183</v>
      </c>
      <c r="F42" s="136">
        <v>5219000</v>
      </c>
      <c r="G42" s="149"/>
      <c r="H42" s="149">
        <f t="shared" si="10"/>
        <v>5219</v>
      </c>
      <c r="I42" s="149"/>
      <c r="J42" s="149"/>
      <c r="K42" s="195">
        <f t="shared" si="9"/>
        <v>5953</v>
      </c>
      <c r="L42" s="195">
        <f t="shared" si="11"/>
        <v>5219</v>
      </c>
    </row>
    <row r="43" spans="1:12" ht="26.25" customHeight="1">
      <c r="A43" s="225" t="s">
        <v>53</v>
      </c>
      <c r="B43" s="105">
        <v>1970000</v>
      </c>
      <c r="C43" s="105">
        <v>2563661.27</v>
      </c>
      <c r="D43" s="105">
        <v>745457.29</v>
      </c>
      <c r="E43" s="106">
        <f t="shared" si="13"/>
        <v>29.077838742713464</v>
      </c>
      <c r="F43" s="136">
        <v>800000</v>
      </c>
      <c r="G43" s="149"/>
      <c r="H43" s="149">
        <f t="shared" si="10"/>
        <v>800</v>
      </c>
      <c r="I43" s="149"/>
      <c r="J43" s="149"/>
      <c r="K43" s="195">
        <f t="shared" si="9"/>
        <v>1970</v>
      </c>
      <c r="L43" s="195">
        <f t="shared" si="11"/>
        <v>800</v>
      </c>
    </row>
    <row r="44" spans="1:12" ht="24.75" customHeight="1">
      <c r="A44" s="223" t="s">
        <v>170</v>
      </c>
      <c r="B44" s="105">
        <v>450000</v>
      </c>
      <c r="C44" s="105">
        <v>450000</v>
      </c>
      <c r="D44" s="105">
        <v>610750</v>
      </c>
      <c r="E44" s="106">
        <f t="shared" si="13"/>
        <v>135.72222222222223</v>
      </c>
      <c r="F44" s="138">
        <v>600000</v>
      </c>
      <c r="G44" s="149"/>
      <c r="H44" s="149">
        <f t="shared" si="10"/>
        <v>600</v>
      </c>
      <c r="I44" s="149"/>
      <c r="J44" s="149"/>
      <c r="K44" s="195">
        <f t="shared" si="9"/>
        <v>450</v>
      </c>
      <c r="L44" s="195">
        <f t="shared" si="11"/>
        <v>600</v>
      </c>
    </row>
    <row r="45" spans="1:12" ht="24.75" customHeight="1">
      <c r="A45" s="223" t="s">
        <v>652</v>
      </c>
      <c r="B45" s="105">
        <v>10000</v>
      </c>
      <c r="C45" s="105">
        <v>10000</v>
      </c>
      <c r="D45" s="105">
        <v>10521.5</v>
      </c>
      <c r="E45" s="106">
        <f t="shared" si="13"/>
        <v>105.21499999999999</v>
      </c>
      <c r="F45" s="136">
        <v>10000</v>
      </c>
      <c r="G45" s="149"/>
      <c r="H45" s="149">
        <f t="shared" si="10"/>
        <v>10</v>
      </c>
      <c r="I45" s="149"/>
      <c r="J45" s="149"/>
      <c r="K45" s="195">
        <f t="shared" si="9"/>
        <v>10</v>
      </c>
      <c r="L45" s="195">
        <f t="shared" si="11"/>
        <v>10</v>
      </c>
    </row>
    <row r="46" spans="1:12" ht="24.75" customHeight="1">
      <c r="A46" s="223" t="s">
        <v>52</v>
      </c>
      <c r="B46" s="105">
        <v>338405051</v>
      </c>
      <c r="C46" s="105">
        <v>149147591.78</v>
      </c>
      <c r="D46" s="114">
        <v>0</v>
      </c>
      <c r="E46" s="106">
        <f t="shared" si="13"/>
        <v>0</v>
      </c>
      <c r="F46" s="141">
        <v>288469000</v>
      </c>
      <c r="G46" s="149">
        <f>292019000-F46</f>
        <v>3550000</v>
      </c>
      <c r="H46" s="149">
        <f>(F46+G46)/1000</f>
        <v>292019</v>
      </c>
      <c r="I46" s="149"/>
      <c r="J46" s="149"/>
      <c r="K46" s="195">
        <f t="shared" si="9"/>
        <v>338405.051</v>
      </c>
      <c r="L46" s="195">
        <v>249619</v>
      </c>
    </row>
    <row r="47" spans="1:12" ht="24.75" customHeight="1">
      <c r="A47" s="223" t="s">
        <v>213</v>
      </c>
      <c r="B47" s="105">
        <v>2000</v>
      </c>
      <c r="C47" s="105">
        <v>2000</v>
      </c>
      <c r="D47" s="105">
        <v>1400</v>
      </c>
      <c r="E47" s="106">
        <f t="shared" si="13"/>
        <v>70</v>
      </c>
      <c r="F47" s="136">
        <v>2000</v>
      </c>
      <c r="G47" s="149"/>
      <c r="H47" s="149">
        <f t="shared" si="10"/>
        <v>2</v>
      </c>
      <c r="I47" s="149"/>
      <c r="J47" s="149"/>
      <c r="K47" s="195">
        <f t="shared" si="9"/>
        <v>2</v>
      </c>
      <c r="L47" s="195">
        <f t="shared" si="11"/>
        <v>2</v>
      </c>
    </row>
    <row r="48" spans="1:12" ht="24.75" customHeight="1">
      <c r="A48" s="223" t="s">
        <v>214</v>
      </c>
      <c r="B48" s="105">
        <v>15957000</v>
      </c>
      <c r="C48" s="105">
        <v>15957000</v>
      </c>
      <c r="D48" s="105">
        <v>11323465.5</v>
      </c>
      <c r="E48" s="106">
        <f t="shared" si="13"/>
        <v>70.9623707463809</v>
      </c>
      <c r="F48" s="136">
        <v>10328000</v>
      </c>
      <c r="G48" s="149"/>
      <c r="H48" s="149">
        <f t="shared" si="10"/>
        <v>10328</v>
      </c>
      <c r="I48" s="149"/>
      <c r="J48" s="149"/>
      <c r="K48" s="195">
        <f t="shared" si="9"/>
        <v>15957</v>
      </c>
      <c r="L48" s="195">
        <f t="shared" si="11"/>
        <v>10328</v>
      </c>
    </row>
    <row r="49" spans="1:15" ht="24.75" customHeight="1">
      <c r="A49" s="226" t="s">
        <v>502</v>
      </c>
      <c r="B49" s="110">
        <f>SUM(B25:B48)</f>
        <v>395233051</v>
      </c>
      <c r="C49" s="110">
        <f>SUM(C25:C48)</f>
        <v>207039204.52</v>
      </c>
      <c r="D49" s="110">
        <f>SUM(D25:D48)</f>
        <v>45554371.28</v>
      </c>
      <c r="E49" s="115">
        <f t="shared" si="13"/>
        <v>22.00277545772711</v>
      </c>
      <c r="F49" s="139">
        <f>SUM(F25:F48)</f>
        <v>332842000</v>
      </c>
      <c r="G49" s="153">
        <f>SUM(G25:G48)/1000</f>
        <v>3550</v>
      </c>
      <c r="H49" s="151">
        <f>SUM(H25:H48)</f>
        <v>336392</v>
      </c>
      <c r="I49" s="151">
        <f>SUM(I25:I48)</f>
        <v>0</v>
      </c>
      <c r="J49" s="151">
        <f>SUM(J25:J48)</f>
        <v>0</v>
      </c>
      <c r="K49" s="192">
        <v>395293</v>
      </c>
      <c r="L49" s="192">
        <f>SUM(L25:L48)</f>
        <v>300213</v>
      </c>
      <c r="O49" s="116"/>
    </row>
    <row r="50" spans="1:12" ht="24.75" customHeight="1" hidden="1" outlineLevel="1">
      <c r="A50" s="227" t="s">
        <v>503</v>
      </c>
      <c r="B50" s="117">
        <v>0</v>
      </c>
      <c r="C50" s="117">
        <v>11051597</v>
      </c>
      <c r="D50" s="117">
        <v>11051597</v>
      </c>
      <c r="E50" s="118">
        <f aca="true" t="shared" si="14" ref="E50:E72">D50/C50*100</f>
        <v>100</v>
      </c>
      <c r="F50" s="142">
        <v>0</v>
      </c>
      <c r="G50" s="149"/>
      <c r="H50" s="149"/>
      <c r="I50" s="149"/>
      <c r="J50" s="149"/>
      <c r="K50" s="195"/>
      <c r="L50" s="197"/>
    </row>
    <row r="51" spans="1:12" ht="24.75" customHeight="1" hidden="1" outlineLevel="1">
      <c r="A51" s="227" t="s">
        <v>504</v>
      </c>
      <c r="B51" s="117">
        <v>0</v>
      </c>
      <c r="C51" s="117">
        <v>345000</v>
      </c>
      <c r="D51" s="117">
        <v>345000</v>
      </c>
      <c r="E51" s="118">
        <f t="shared" si="14"/>
        <v>100</v>
      </c>
      <c r="F51" s="142">
        <v>0</v>
      </c>
      <c r="G51" s="149"/>
      <c r="H51" s="149"/>
      <c r="I51" s="149"/>
      <c r="J51" s="149"/>
      <c r="K51" s="195"/>
      <c r="L51" s="197"/>
    </row>
    <row r="52" spans="1:12" ht="24.75" customHeight="1" hidden="1" outlineLevel="1">
      <c r="A52" s="227" t="s">
        <v>505</v>
      </c>
      <c r="B52" s="117">
        <v>0</v>
      </c>
      <c r="C52" s="117">
        <v>20000</v>
      </c>
      <c r="D52" s="117">
        <v>20000</v>
      </c>
      <c r="E52" s="118">
        <f t="shared" si="14"/>
        <v>100</v>
      </c>
      <c r="F52" s="142">
        <v>0</v>
      </c>
      <c r="G52" s="149"/>
      <c r="H52" s="149"/>
      <c r="I52" s="149"/>
      <c r="J52" s="149"/>
      <c r="K52" s="195"/>
      <c r="L52" s="197"/>
    </row>
    <row r="53" spans="1:12" ht="24.75" customHeight="1" hidden="1" outlineLevel="1">
      <c r="A53" s="227" t="s">
        <v>506</v>
      </c>
      <c r="B53" s="117">
        <v>0</v>
      </c>
      <c r="C53" s="117">
        <v>1957000</v>
      </c>
      <c r="D53" s="117">
        <v>1957000</v>
      </c>
      <c r="E53" s="118">
        <f t="shared" si="14"/>
        <v>100</v>
      </c>
      <c r="F53" s="142">
        <v>0</v>
      </c>
      <c r="G53" s="149"/>
      <c r="H53" s="149"/>
      <c r="I53" s="149"/>
      <c r="J53" s="149"/>
      <c r="K53" s="195"/>
      <c r="L53" s="197"/>
    </row>
    <row r="54" spans="1:12" ht="23.25" customHeight="1" collapsed="1">
      <c r="A54" s="223" t="s">
        <v>367</v>
      </c>
      <c r="B54" s="105">
        <v>105126000</v>
      </c>
      <c r="C54" s="111">
        <v>105176900</v>
      </c>
      <c r="D54" s="105">
        <v>87643000</v>
      </c>
      <c r="E54" s="106">
        <f t="shared" si="14"/>
        <v>83.32913405890457</v>
      </c>
      <c r="F54" s="136">
        <f>73125000+14000000</f>
        <v>87125000</v>
      </c>
      <c r="G54" s="149"/>
      <c r="H54" s="149">
        <f>F54/1000</f>
        <v>87125</v>
      </c>
      <c r="I54" s="149"/>
      <c r="J54" s="149">
        <v>-14000</v>
      </c>
      <c r="K54" s="195">
        <v>105126</v>
      </c>
      <c r="L54" s="195">
        <f>H54+J54</f>
        <v>73125</v>
      </c>
    </row>
    <row r="55" spans="1:12" ht="24.75" customHeight="1" hidden="1" outlineLevel="1">
      <c r="A55" s="223" t="s">
        <v>507</v>
      </c>
      <c r="B55" s="105">
        <v>0</v>
      </c>
      <c r="C55" s="111">
        <v>6000</v>
      </c>
      <c r="D55" s="105">
        <v>6000</v>
      </c>
      <c r="E55" s="106">
        <f t="shared" si="14"/>
        <v>100</v>
      </c>
      <c r="F55" s="136">
        <v>0</v>
      </c>
      <c r="G55" s="149"/>
      <c r="H55" s="149">
        <f aca="true" t="shared" si="15" ref="H55:H79">F55/1000</f>
        <v>0</v>
      </c>
      <c r="I55" s="149"/>
      <c r="J55" s="149"/>
      <c r="K55" s="195"/>
      <c r="L55" s="195">
        <f aca="true" t="shared" si="16" ref="L55:L95">H55+J55</f>
        <v>0</v>
      </c>
    </row>
    <row r="56" spans="1:12" ht="24.75" customHeight="1" hidden="1" outlineLevel="1">
      <c r="A56" s="223" t="s">
        <v>236</v>
      </c>
      <c r="B56" s="105">
        <v>0</v>
      </c>
      <c r="C56" s="111">
        <v>9956311.46</v>
      </c>
      <c r="D56" s="105">
        <v>10490662.94</v>
      </c>
      <c r="E56" s="106">
        <f t="shared" si="14"/>
        <v>105.36696227460124</v>
      </c>
      <c r="F56" s="136">
        <v>0</v>
      </c>
      <c r="G56" s="149"/>
      <c r="H56" s="149">
        <f t="shared" si="15"/>
        <v>0</v>
      </c>
      <c r="I56" s="149"/>
      <c r="J56" s="149"/>
      <c r="K56" s="195"/>
      <c r="L56" s="195">
        <f t="shared" si="16"/>
        <v>0</v>
      </c>
    </row>
    <row r="57" spans="1:12" ht="24.75" customHeight="1" hidden="1" outlineLevel="1">
      <c r="A57" s="223" t="s">
        <v>237</v>
      </c>
      <c r="B57" s="105">
        <v>0</v>
      </c>
      <c r="C57" s="111">
        <v>1756996.14</v>
      </c>
      <c r="D57" s="105">
        <v>1851293.46</v>
      </c>
      <c r="E57" s="106">
        <f t="shared" si="14"/>
        <v>105.36696227460125</v>
      </c>
      <c r="F57" s="136">
        <v>0</v>
      </c>
      <c r="G57" s="149"/>
      <c r="H57" s="149">
        <f t="shared" si="15"/>
        <v>0</v>
      </c>
      <c r="I57" s="149"/>
      <c r="J57" s="149"/>
      <c r="K57" s="195"/>
      <c r="L57" s="195">
        <f t="shared" si="16"/>
        <v>0</v>
      </c>
    </row>
    <row r="58" spans="1:12" ht="24.75" customHeight="1" hidden="1" outlineLevel="1">
      <c r="A58" s="223" t="s">
        <v>657</v>
      </c>
      <c r="B58" s="105">
        <v>0</v>
      </c>
      <c r="C58" s="111">
        <v>374952</v>
      </c>
      <c r="D58" s="105">
        <v>374952</v>
      </c>
      <c r="E58" s="106">
        <f t="shared" si="14"/>
        <v>100</v>
      </c>
      <c r="F58" s="136">
        <v>0</v>
      </c>
      <c r="G58" s="149"/>
      <c r="H58" s="149">
        <f t="shared" si="15"/>
        <v>0</v>
      </c>
      <c r="I58" s="149"/>
      <c r="J58" s="149"/>
      <c r="K58" s="195"/>
      <c r="L58" s="195">
        <f t="shared" si="16"/>
        <v>0</v>
      </c>
    </row>
    <row r="59" spans="1:12" ht="24.75" customHeight="1" hidden="1" outlineLevel="1">
      <c r="A59" s="223" t="s">
        <v>658</v>
      </c>
      <c r="B59" s="105">
        <v>0</v>
      </c>
      <c r="C59" s="111">
        <v>2671000</v>
      </c>
      <c r="D59" s="105">
        <v>2671000</v>
      </c>
      <c r="E59" s="106">
        <f t="shared" si="14"/>
        <v>100</v>
      </c>
      <c r="F59" s="136">
        <v>0</v>
      </c>
      <c r="G59" s="149"/>
      <c r="H59" s="149">
        <f t="shared" si="15"/>
        <v>0</v>
      </c>
      <c r="I59" s="149"/>
      <c r="J59" s="149"/>
      <c r="K59" s="195"/>
      <c r="L59" s="195">
        <f t="shared" si="16"/>
        <v>0</v>
      </c>
    </row>
    <row r="60" spans="1:12" ht="24.75" customHeight="1" hidden="1" outlineLevel="1">
      <c r="A60" s="223" t="s">
        <v>659</v>
      </c>
      <c r="B60" s="105">
        <v>0</v>
      </c>
      <c r="C60" s="111">
        <v>1331.4</v>
      </c>
      <c r="D60" s="105">
        <v>1331.4</v>
      </c>
      <c r="E60" s="106">
        <f t="shared" si="14"/>
        <v>100</v>
      </c>
      <c r="F60" s="136">
        <v>0</v>
      </c>
      <c r="G60" s="149"/>
      <c r="H60" s="149">
        <f t="shared" si="15"/>
        <v>0</v>
      </c>
      <c r="I60" s="149"/>
      <c r="J60" s="149"/>
      <c r="K60" s="195"/>
      <c r="L60" s="195">
        <f t="shared" si="16"/>
        <v>0</v>
      </c>
    </row>
    <row r="61" spans="1:12" ht="24.75" customHeight="1" hidden="1" outlineLevel="1">
      <c r="A61" s="223" t="s">
        <v>660</v>
      </c>
      <c r="B61" s="105">
        <v>0</v>
      </c>
      <c r="C61" s="111">
        <v>560000</v>
      </c>
      <c r="D61" s="105">
        <v>560000</v>
      </c>
      <c r="E61" s="106">
        <f t="shared" si="14"/>
        <v>100</v>
      </c>
      <c r="F61" s="136">
        <v>0</v>
      </c>
      <c r="G61" s="149"/>
      <c r="H61" s="149">
        <f t="shared" si="15"/>
        <v>0</v>
      </c>
      <c r="I61" s="149"/>
      <c r="J61" s="149"/>
      <c r="K61" s="195"/>
      <c r="L61" s="195">
        <f t="shared" si="16"/>
        <v>0</v>
      </c>
    </row>
    <row r="62" spans="1:12" ht="24.75" customHeight="1" hidden="1" outlineLevel="1">
      <c r="A62" s="223" t="s">
        <v>661</v>
      </c>
      <c r="B62" s="105">
        <v>0</v>
      </c>
      <c r="C62" s="111">
        <v>1500</v>
      </c>
      <c r="D62" s="105">
        <v>1500</v>
      </c>
      <c r="E62" s="106">
        <f t="shared" si="14"/>
        <v>100</v>
      </c>
      <c r="F62" s="136">
        <v>0</v>
      </c>
      <c r="G62" s="149"/>
      <c r="H62" s="149">
        <f t="shared" si="15"/>
        <v>0</v>
      </c>
      <c r="I62" s="149"/>
      <c r="J62" s="149"/>
      <c r="K62" s="195"/>
      <c r="L62" s="195">
        <f t="shared" si="16"/>
        <v>0</v>
      </c>
    </row>
    <row r="63" spans="1:12" ht="24.75" customHeight="1" hidden="1" outlineLevel="1">
      <c r="A63" s="223" t="s">
        <v>0</v>
      </c>
      <c r="B63" s="105">
        <v>0</v>
      </c>
      <c r="C63" s="111">
        <v>530679</v>
      </c>
      <c r="D63" s="105">
        <v>403064</v>
      </c>
      <c r="E63" s="106">
        <f t="shared" si="14"/>
        <v>75.95250612894047</v>
      </c>
      <c r="F63" s="136">
        <v>0</v>
      </c>
      <c r="G63" s="149"/>
      <c r="H63" s="149">
        <f t="shared" si="15"/>
        <v>0</v>
      </c>
      <c r="I63" s="149"/>
      <c r="J63" s="149"/>
      <c r="K63" s="195"/>
      <c r="L63" s="195">
        <f t="shared" si="16"/>
        <v>0</v>
      </c>
    </row>
    <row r="64" spans="1:12" ht="24.75" customHeight="1" hidden="1" outlineLevel="1">
      <c r="A64" s="223" t="s">
        <v>1</v>
      </c>
      <c r="B64" s="105">
        <v>0</v>
      </c>
      <c r="C64" s="111">
        <v>387000</v>
      </c>
      <c r="D64" s="105">
        <v>387000</v>
      </c>
      <c r="E64" s="106">
        <f t="shared" si="14"/>
        <v>100</v>
      </c>
      <c r="F64" s="136">
        <v>0</v>
      </c>
      <c r="G64" s="149"/>
      <c r="H64" s="149">
        <f t="shared" si="15"/>
        <v>0</v>
      </c>
      <c r="I64" s="149"/>
      <c r="J64" s="149"/>
      <c r="K64" s="195"/>
      <c r="L64" s="195">
        <f t="shared" si="16"/>
        <v>0</v>
      </c>
    </row>
    <row r="65" spans="1:12" ht="24.75" customHeight="1" hidden="1" outlineLevel="1">
      <c r="A65" s="223" t="s">
        <v>2</v>
      </c>
      <c r="B65" s="105">
        <v>0</v>
      </c>
      <c r="C65" s="111">
        <v>732347</v>
      </c>
      <c r="D65" s="105">
        <v>732347</v>
      </c>
      <c r="E65" s="106">
        <f t="shared" si="14"/>
        <v>100</v>
      </c>
      <c r="F65" s="136">
        <v>0</v>
      </c>
      <c r="G65" s="149"/>
      <c r="H65" s="149">
        <f t="shared" si="15"/>
        <v>0</v>
      </c>
      <c r="I65" s="149"/>
      <c r="J65" s="149"/>
      <c r="K65" s="195"/>
      <c r="L65" s="195">
        <f t="shared" si="16"/>
        <v>0</v>
      </c>
    </row>
    <row r="66" spans="1:12" ht="24.75" customHeight="1" hidden="1" outlineLevel="1">
      <c r="A66" s="223" t="s">
        <v>335</v>
      </c>
      <c r="B66" s="105">
        <v>0</v>
      </c>
      <c r="C66" s="111">
        <v>4580000</v>
      </c>
      <c r="D66" s="105">
        <v>4580000</v>
      </c>
      <c r="E66" s="106">
        <f t="shared" si="14"/>
        <v>100</v>
      </c>
      <c r="F66" s="136">
        <v>0</v>
      </c>
      <c r="G66" s="149"/>
      <c r="H66" s="149">
        <f t="shared" si="15"/>
        <v>0</v>
      </c>
      <c r="I66" s="149"/>
      <c r="J66" s="149"/>
      <c r="K66" s="195"/>
      <c r="L66" s="195">
        <f t="shared" si="16"/>
        <v>0</v>
      </c>
    </row>
    <row r="67" spans="1:12" ht="24.75" customHeight="1" hidden="1" outlineLevel="1">
      <c r="A67" s="223" t="s">
        <v>336</v>
      </c>
      <c r="B67" s="105">
        <v>0</v>
      </c>
      <c r="C67" s="111">
        <v>52000</v>
      </c>
      <c r="D67" s="105">
        <v>52000</v>
      </c>
      <c r="E67" s="106">
        <f t="shared" si="14"/>
        <v>100</v>
      </c>
      <c r="F67" s="136">
        <v>0</v>
      </c>
      <c r="G67" s="149"/>
      <c r="H67" s="149">
        <f t="shared" si="15"/>
        <v>0</v>
      </c>
      <c r="I67" s="149"/>
      <c r="J67" s="149"/>
      <c r="K67" s="195"/>
      <c r="L67" s="195">
        <f t="shared" si="16"/>
        <v>0</v>
      </c>
    </row>
    <row r="68" spans="1:12" ht="24.75" customHeight="1" hidden="1" outlineLevel="1">
      <c r="A68" s="223" t="s">
        <v>337</v>
      </c>
      <c r="B68" s="105">
        <v>0</v>
      </c>
      <c r="C68" s="111">
        <v>116143</v>
      </c>
      <c r="D68" s="105">
        <v>116143</v>
      </c>
      <c r="E68" s="106">
        <f t="shared" si="14"/>
        <v>100</v>
      </c>
      <c r="F68" s="136">
        <v>0</v>
      </c>
      <c r="G68" s="149"/>
      <c r="H68" s="149">
        <f t="shared" si="15"/>
        <v>0</v>
      </c>
      <c r="I68" s="149"/>
      <c r="J68" s="149"/>
      <c r="K68" s="195"/>
      <c r="L68" s="195">
        <f t="shared" si="16"/>
        <v>0</v>
      </c>
    </row>
    <row r="69" spans="1:12" ht="24.75" customHeight="1" hidden="1" outlineLevel="1">
      <c r="A69" s="223" t="s">
        <v>338</v>
      </c>
      <c r="B69" s="105">
        <v>0</v>
      </c>
      <c r="C69" s="111">
        <v>2475000</v>
      </c>
      <c r="D69" s="105">
        <v>382155.92</v>
      </c>
      <c r="E69" s="106">
        <f t="shared" si="14"/>
        <v>15.44064323232323</v>
      </c>
      <c r="F69" s="136">
        <v>0</v>
      </c>
      <c r="G69" s="149"/>
      <c r="H69" s="149">
        <f t="shared" si="15"/>
        <v>0</v>
      </c>
      <c r="I69" s="149"/>
      <c r="J69" s="149"/>
      <c r="K69" s="195"/>
      <c r="L69" s="195">
        <f t="shared" si="16"/>
        <v>0</v>
      </c>
    </row>
    <row r="70" spans="1:12" ht="24.75" customHeight="1" hidden="1" outlineLevel="1">
      <c r="A70" s="223" t="s">
        <v>339</v>
      </c>
      <c r="B70" s="105">
        <v>0</v>
      </c>
      <c r="C70" s="111">
        <v>131932.88</v>
      </c>
      <c r="D70" s="105">
        <v>131932.88</v>
      </c>
      <c r="E70" s="106">
        <f t="shared" si="14"/>
        <v>100</v>
      </c>
      <c r="F70" s="136">
        <v>0</v>
      </c>
      <c r="G70" s="149"/>
      <c r="H70" s="149">
        <f t="shared" si="15"/>
        <v>0</v>
      </c>
      <c r="I70" s="149"/>
      <c r="J70" s="149"/>
      <c r="K70" s="195"/>
      <c r="L70" s="195">
        <f t="shared" si="16"/>
        <v>0</v>
      </c>
    </row>
    <row r="71" spans="1:12" ht="24.75" customHeight="1" hidden="1" outlineLevel="1">
      <c r="A71" s="223" t="s">
        <v>333</v>
      </c>
      <c r="B71" s="105">
        <v>0</v>
      </c>
      <c r="C71" s="111">
        <v>23282.28</v>
      </c>
      <c r="D71" s="105">
        <v>23282.28</v>
      </c>
      <c r="E71" s="106">
        <f t="shared" si="14"/>
        <v>100</v>
      </c>
      <c r="F71" s="136">
        <v>0</v>
      </c>
      <c r="G71" s="149"/>
      <c r="H71" s="149">
        <f t="shared" si="15"/>
        <v>0</v>
      </c>
      <c r="I71" s="149"/>
      <c r="J71" s="149"/>
      <c r="K71" s="195"/>
      <c r="L71" s="195">
        <f t="shared" si="16"/>
        <v>0</v>
      </c>
    </row>
    <row r="72" spans="1:12" ht="24.75" customHeight="1" hidden="1" outlineLevel="1">
      <c r="A72" s="223" t="s">
        <v>334</v>
      </c>
      <c r="B72" s="105">
        <v>0</v>
      </c>
      <c r="C72" s="111">
        <v>1325232</v>
      </c>
      <c r="D72" s="105">
        <v>1325232</v>
      </c>
      <c r="E72" s="106">
        <f t="shared" si="14"/>
        <v>100</v>
      </c>
      <c r="F72" s="136">
        <v>0</v>
      </c>
      <c r="G72" s="149"/>
      <c r="H72" s="149">
        <f t="shared" si="15"/>
        <v>0</v>
      </c>
      <c r="I72" s="149"/>
      <c r="J72" s="149"/>
      <c r="K72" s="195"/>
      <c r="L72" s="195">
        <f t="shared" si="16"/>
        <v>0</v>
      </c>
    </row>
    <row r="73" spans="1:12" ht="24.75" customHeight="1" hidden="1" outlineLevel="1">
      <c r="A73" s="228" t="s">
        <v>55</v>
      </c>
      <c r="B73" s="111">
        <v>0</v>
      </c>
      <c r="C73" s="111">
        <v>0</v>
      </c>
      <c r="D73" s="111">
        <v>15906.09</v>
      </c>
      <c r="E73" s="113">
        <v>0</v>
      </c>
      <c r="F73" s="140">
        <v>0</v>
      </c>
      <c r="G73" s="149"/>
      <c r="H73" s="149">
        <f t="shared" si="15"/>
        <v>0</v>
      </c>
      <c r="I73" s="149"/>
      <c r="J73" s="149"/>
      <c r="K73" s="195"/>
      <c r="L73" s="195">
        <f t="shared" si="16"/>
        <v>0</v>
      </c>
    </row>
    <row r="74" spans="1:12" ht="24.75" customHeight="1" hidden="1" outlineLevel="1">
      <c r="A74" s="223" t="s">
        <v>56</v>
      </c>
      <c r="B74" s="105">
        <v>0</v>
      </c>
      <c r="C74" s="111">
        <v>1710000</v>
      </c>
      <c r="D74" s="105">
        <v>1710000</v>
      </c>
      <c r="E74" s="106">
        <f aca="true" t="shared" si="17" ref="E74:E113">D74/C74*100</f>
        <v>100</v>
      </c>
      <c r="F74" s="136">
        <v>0</v>
      </c>
      <c r="G74" s="149"/>
      <c r="H74" s="149">
        <f t="shared" si="15"/>
        <v>0</v>
      </c>
      <c r="I74" s="149"/>
      <c r="J74" s="149"/>
      <c r="K74" s="195"/>
      <c r="L74" s="195">
        <f t="shared" si="16"/>
        <v>0</v>
      </c>
    </row>
    <row r="75" spans="1:12" ht="24.75" customHeight="1" hidden="1" outlineLevel="1">
      <c r="A75" s="228" t="s">
        <v>57</v>
      </c>
      <c r="B75" s="111">
        <v>0</v>
      </c>
      <c r="C75" s="111">
        <v>81461.59</v>
      </c>
      <c r="D75" s="111">
        <v>81461.59</v>
      </c>
      <c r="E75" s="113">
        <f t="shared" si="17"/>
        <v>100</v>
      </c>
      <c r="F75" s="140">
        <v>0</v>
      </c>
      <c r="G75" s="149"/>
      <c r="H75" s="149">
        <f t="shared" si="15"/>
        <v>0</v>
      </c>
      <c r="I75" s="149"/>
      <c r="J75" s="149"/>
      <c r="K75" s="195"/>
      <c r="L75" s="195">
        <f t="shared" si="16"/>
        <v>0</v>
      </c>
    </row>
    <row r="76" spans="1:12" ht="24.75" customHeight="1" hidden="1" outlineLevel="1">
      <c r="A76" s="228" t="s">
        <v>58</v>
      </c>
      <c r="B76" s="111">
        <v>0</v>
      </c>
      <c r="C76" s="111">
        <v>19060.05</v>
      </c>
      <c r="D76" s="111">
        <v>19060.05</v>
      </c>
      <c r="E76" s="113">
        <f t="shared" si="17"/>
        <v>100</v>
      </c>
      <c r="F76" s="140">
        <v>0</v>
      </c>
      <c r="G76" s="149"/>
      <c r="H76" s="149">
        <f t="shared" si="15"/>
        <v>0</v>
      </c>
      <c r="I76" s="149"/>
      <c r="J76" s="149"/>
      <c r="K76" s="195"/>
      <c r="L76" s="195">
        <f t="shared" si="16"/>
        <v>0</v>
      </c>
    </row>
    <row r="77" spans="1:12" ht="24.75" customHeight="1" hidden="1" outlineLevel="1">
      <c r="A77" s="228" t="s">
        <v>59</v>
      </c>
      <c r="B77" s="111">
        <v>0</v>
      </c>
      <c r="C77" s="111">
        <v>385758.9</v>
      </c>
      <c r="D77" s="111">
        <v>385758.9</v>
      </c>
      <c r="E77" s="106">
        <f t="shared" si="17"/>
        <v>100</v>
      </c>
      <c r="F77" s="140">
        <v>0</v>
      </c>
      <c r="G77" s="149"/>
      <c r="H77" s="149">
        <f t="shared" si="15"/>
        <v>0</v>
      </c>
      <c r="I77" s="149"/>
      <c r="J77" s="149"/>
      <c r="K77" s="195"/>
      <c r="L77" s="195">
        <f t="shared" si="16"/>
        <v>0</v>
      </c>
    </row>
    <row r="78" spans="1:12" ht="24.75" customHeight="1" hidden="1" outlineLevel="1">
      <c r="A78" s="228" t="s">
        <v>60</v>
      </c>
      <c r="B78" s="111">
        <v>0</v>
      </c>
      <c r="C78" s="111">
        <v>264653.59</v>
      </c>
      <c r="D78" s="111">
        <v>264653.59</v>
      </c>
      <c r="E78" s="106">
        <f t="shared" si="17"/>
        <v>100</v>
      </c>
      <c r="F78" s="140">
        <v>0</v>
      </c>
      <c r="G78" s="149"/>
      <c r="H78" s="149">
        <f t="shared" si="15"/>
        <v>0</v>
      </c>
      <c r="I78" s="149"/>
      <c r="J78" s="149"/>
      <c r="K78" s="195"/>
      <c r="L78" s="195">
        <f t="shared" si="16"/>
        <v>0</v>
      </c>
    </row>
    <row r="79" spans="1:12" ht="24.75" customHeight="1" collapsed="1">
      <c r="A79" s="223" t="s">
        <v>61</v>
      </c>
      <c r="B79" s="105">
        <v>150000</v>
      </c>
      <c r="C79" s="105">
        <v>150000</v>
      </c>
      <c r="D79" s="105">
        <v>224507</v>
      </c>
      <c r="E79" s="106">
        <f t="shared" si="17"/>
        <v>149.67133333333334</v>
      </c>
      <c r="F79" s="136">
        <v>200000</v>
      </c>
      <c r="G79" s="149"/>
      <c r="H79" s="149">
        <f t="shared" si="15"/>
        <v>200</v>
      </c>
      <c r="I79" s="149"/>
      <c r="J79" s="149"/>
      <c r="K79" s="195">
        <v>150</v>
      </c>
      <c r="L79" s="195">
        <f t="shared" si="16"/>
        <v>200</v>
      </c>
    </row>
    <row r="80" spans="1:12" ht="32.25" customHeight="1" hidden="1" outlineLevel="1">
      <c r="A80" s="223" t="s">
        <v>221</v>
      </c>
      <c r="B80" s="105">
        <v>0</v>
      </c>
      <c r="C80" s="105">
        <v>1050000</v>
      </c>
      <c r="D80" s="105">
        <v>1050000</v>
      </c>
      <c r="E80" s="106">
        <f t="shared" si="17"/>
        <v>100</v>
      </c>
      <c r="F80" s="136">
        <v>0</v>
      </c>
      <c r="G80" s="149"/>
      <c r="H80" s="149"/>
      <c r="I80" s="149"/>
      <c r="J80" s="149"/>
      <c r="K80" s="195"/>
      <c r="L80" s="195">
        <f t="shared" si="16"/>
        <v>0</v>
      </c>
    </row>
    <row r="81" spans="1:12" ht="24.75" customHeight="1" hidden="1" outlineLevel="1">
      <c r="A81" s="223" t="s">
        <v>222</v>
      </c>
      <c r="B81" s="105">
        <v>0</v>
      </c>
      <c r="C81" s="105">
        <v>2268076</v>
      </c>
      <c r="D81" s="105">
        <v>2268076</v>
      </c>
      <c r="E81" s="106">
        <f t="shared" si="17"/>
        <v>100</v>
      </c>
      <c r="F81" s="136">
        <v>0</v>
      </c>
      <c r="G81" s="149"/>
      <c r="H81" s="149"/>
      <c r="I81" s="149"/>
      <c r="J81" s="149"/>
      <c r="K81" s="195"/>
      <c r="L81" s="195">
        <f t="shared" si="16"/>
        <v>0</v>
      </c>
    </row>
    <row r="82" spans="1:12" ht="24.75" customHeight="1" hidden="1" outlineLevel="1">
      <c r="A82" s="223" t="s">
        <v>223</v>
      </c>
      <c r="B82" s="105">
        <v>0</v>
      </c>
      <c r="C82" s="105">
        <v>147680.75</v>
      </c>
      <c r="D82" s="105">
        <v>147680.75</v>
      </c>
      <c r="E82" s="106">
        <f t="shared" si="17"/>
        <v>100</v>
      </c>
      <c r="F82" s="136">
        <v>0</v>
      </c>
      <c r="G82" s="149"/>
      <c r="H82" s="149"/>
      <c r="I82" s="149"/>
      <c r="J82" s="149"/>
      <c r="K82" s="195"/>
      <c r="L82" s="195">
        <f t="shared" si="16"/>
        <v>0</v>
      </c>
    </row>
    <row r="83" spans="1:12" ht="24.75" customHeight="1" hidden="1" outlineLevel="1">
      <c r="A83" s="223" t="s">
        <v>224</v>
      </c>
      <c r="B83" s="105">
        <v>0</v>
      </c>
      <c r="C83" s="105">
        <v>836857.51</v>
      </c>
      <c r="D83" s="105">
        <v>836857.5</v>
      </c>
      <c r="E83" s="106">
        <f t="shared" si="17"/>
        <v>99.99999880505345</v>
      </c>
      <c r="F83" s="136">
        <v>0</v>
      </c>
      <c r="G83" s="149"/>
      <c r="H83" s="149"/>
      <c r="I83" s="149"/>
      <c r="J83" s="149"/>
      <c r="K83" s="195"/>
      <c r="L83" s="195">
        <f t="shared" si="16"/>
        <v>0</v>
      </c>
    </row>
    <row r="84" spans="1:12" ht="24.75" customHeight="1" hidden="1" outlineLevel="1">
      <c r="A84" s="223" t="s">
        <v>225</v>
      </c>
      <c r="B84" s="105">
        <v>0</v>
      </c>
      <c r="C84" s="105">
        <v>350000</v>
      </c>
      <c r="D84" s="105">
        <v>350000</v>
      </c>
      <c r="E84" s="106">
        <f t="shared" si="17"/>
        <v>100</v>
      </c>
      <c r="F84" s="136">
        <v>0</v>
      </c>
      <c r="G84" s="149"/>
      <c r="H84" s="149"/>
      <c r="I84" s="149"/>
      <c r="J84" s="149"/>
      <c r="K84" s="195"/>
      <c r="L84" s="195">
        <f t="shared" si="16"/>
        <v>0</v>
      </c>
    </row>
    <row r="85" spans="1:12" ht="24.75" customHeight="1" hidden="1" outlineLevel="1">
      <c r="A85" s="223" t="s">
        <v>226</v>
      </c>
      <c r="B85" s="105">
        <v>0</v>
      </c>
      <c r="C85" s="105">
        <v>226070.8</v>
      </c>
      <c r="D85" s="105">
        <v>277635.8</v>
      </c>
      <c r="E85" s="106">
        <f t="shared" si="17"/>
        <v>122.80922613623697</v>
      </c>
      <c r="F85" s="136">
        <v>0</v>
      </c>
      <c r="G85" s="149"/>
      <c r="H85" s="149"/>
      <c r="I85" s="149"/>
      <c r="J85" s="149"/>
      <c r="K85" s="195"/>
      <c r="L85" s="195">
        <f t="shared" si="16"/>
        <v>0</v>
      </c>
    </row>
    <row r="86" spans="1:12" ht="24.75" customHeight="1" hidden="1" outlineLevel="1">
      <c r="A86" s="223" t="s">
        <v>227</v>
      </c>
      <c r="B86" s="105">
        <v>0</v>
      </c>
      <c r="C86" s="105">
        <v>1281067.86</v>
      </c>
      <c r="D86" s="105">
        <v>1573269.45</v>
      </c>
      <c r="E86" s="106">
        <f t="shared" si="17"/>
        <v>122.80922027034538</v>
      </c>
      <c r="F86" s="136">
        <v>0</v>
      </c>
      <c r="G86" s="149"/>
      <c r="H86" s="149"/>
      <c r="I86" s="149"/>
      <c r="J86" s="149"/>
      <c r="K86" s="195"/>
      <c r="L86" s="195">
        <f t="shared" si="16"/>
        <v>0</v>
      </c>
    </row>
    <row r="87" spans="1:12" ht="24.75" customHeight="1" hidden="1" outlineLevel="1">
      <c r="A87" s="223" t="s">
        <v>228</v>
      </c>
      <c r="B87" s="105">
        <v>0</v>
      </c>
      <c r="C87" s="105">
        <v>60000</v>
      </c>
      <c r="D87" s="105">
        <v>60000</v>
      </c>
      <c r="E87" s="106">
        <f t="shared" si="17"/>
        <v>100</v>
      </c>
      <c r="F87" s="136">
        <v>0</v>
      </c>
      <c r="G87" s="149"/>
      <c r="H87" s="149"/>
      <c r="I87" s="149"/>
      <c r="J87" s="149"/>
      <c r="K87" s="195"/>
      <c r="L87" s="195">
        <f t="shared" si="16"/>
        <v>0</v>
      </c>
    </row>
    <row r="88" spans="1:12" ht="24.75" customHeight="1" hidden="1" outlineLevel="1">
      <c r="A88" s="223" t="s">
        <v>229</v>
      </c>
      <c r="B88" s="105">
        <v>0</v>
      </c>
      <c r="C88" s="105">
        <v>25616</v>
      </c>
      <c r="D88" s="105">
        <v>25616</v>
      </c>
      <c r="E88" s="106">
        <f t="shared" si="17"/>
        <v>100</v>
      </c>
      <c r="F88" s="136">
        <v>0</v>
      </c>
      <c r="G88" s="149"/>
      <c r="H88" s="149"/>
      <c r="I88" s="149"/>
      <c r="J88" s="149"/>
      <c r="K88" s="195"/>
      <c r="L88" s="195">
        <f t="shared" si="16"/>
        <v>0</v>
      </c>
    </row>
    <row r="89" spans="1:12" ht="24.75" customHeight="1" hidden="1" outlineLevel="1">
      <c r="A89" s="223" t="s">
        <v>230</v>
      </c>
      <c r="B89" s="105">
        <v>0</v>
      </c>
      <c r="C89" s="105">
        <v>1696000</v>
      </c>
      <c r="D89" s="105">
        <v>1696000</v>
      </c>
      <c r="E89" s="106">
        <f t="shared" si="17"/>
        <v>100</v>
      </c>
      <c r="F89" s="136">
        <v>0</v>
      </c>
      <c r="G89" s="149"/>
      <c r="H89" s="149"/>
      <c r="I89" s="149"/>
      <c r="J89" s="149"/>
      <c r="K89" s="195"/>
      <c r="L89" s="195">
        <f t="shared" si="16"/>
        <v>0</v>
      </c>
    </row>
    <row r="90" spans="1:12" ht="24.75" customHeight="1" hidden="1" outlineLevel="1">
      <c r="A90" s="223" t="s">
        <v>231</v>
      </c>
      <c r="B90" s="105">
        <v>0</v>
      </c>
      <c r="C90" s="105">
        <v>25000</v>
      </c>
      <c r="D90" s="105">
        <v>25000</v>
      </c>
      <c r="E90" s="106">
        <f t="shared" si="17"/>
        <v>100</v>
      </c>
      <c r="F90" s="136">
        <v>0</v>
      </c>
      <c r="G90" s="149"/>
      <c r="H90" s="149"/>
      <c r="I90" s="149"/>
      <c r="J90" s="149"/>
      <c r="K90" s="195"/>
      <c r="L90" s="195">
        <f t="shared" si="16"/>
        <v>0</v>
      </c>
    </row>
    <row r="91" spans="1:12" ht="24.75" customHeight="1" hidden="1" outlineLevel="1">
      <c r="A91" s="223" t="s">
        <v>394</v>
      </c>
      <c r="B91" s="105">
        <v>0</v>
      </c>
      <c r="C91" s="105">
        <v>73000</v>
      </c>
      <c r="D91" s="105">
        <v>73000</v>
      </c>
      <c r="E91" s="106">
        <f t="shared" si="17"/>
        <v>100</v>
      </c>
      <c r="F91" s="136">
        <v>0</v>
      </c>
      <c r="G91" s="149"/>
      <c r="H91" s="149"/>
      <c r="I91" s="149"/>
      <c r="J91" s="149"/>
      <c r="K91" s="195"/>
      <c r="L91" s="195">
        <f t="shared" si="16"/>
        <v>0</v>
      </c>
    </row>
    <row r="92" spans="1:12" ht="24.75" customHeight="1" hidden="1" outlineLevel="1">
      <c r="A92" s="223" t="s">
        <v>395</v>
      </c>
      <c r="B92" s="105">
        <v>0</v>
      </c>
      <c r="C92" s="105">
        <v>30000</v>
      </c>
      <c r="D92" s="105">
        <v>30000</v>
      </c>
      <c r="E92" s="106">
        <f t="shared" si="17"/>
        <v>100</v>
      </c>
      <c r="F92" s="136">
        <v>0</v>
      </c>
      <c r="G92" s="149"/>
      <c r="H92" s="149"/>
      <c r="I92" s="149"/>
      <c r="J92" s="149"/>
      <c r="K92" s="195"/>
      <c r="L92" s="195">
        <f t="shared" si="16"/>
        <v>0</v>
      </c>
    </row>
    <row r="93" spans="1:12" ht="24.75" customHeight="1" hidden="1" outlineLevel="1">
      <c r="A93" s="223" t="s">
        <v>98</v>
      </c>
      <c r="B93" s="105">
        <v>0</v>
      </c>
      <c r="C93" s="105">
        <v>64800</v>
      </c>
      <c r="D93" s="105">
        <v>64800</v>
      </c>
      <c r="E93" s="106">
        <f t="shared" si="17"/>
        <v>100</v>
      </c>
      <c r="F93" s="136">
        <v>0</v>
      </c>
      <c r="G93" s="149"/>
      <c r="H93" s="149"/>
      <c r="I93" s="149"/>
      <c r="J93" s="149"/>
      <c r="K93" s="195"/>
      <c r="L93" s="195">
        <f t="shared" si="16"/>
        <v>0</v>
      </c>
    </row>
    <row r="94" spans="1:12" ht="32.25" customHeight="1" hidden="1" outlineLevel="1">
      <c r="A94" s="223" t="s">
        <v>160</v>
      </c>
      <c r="B94" s="105">
        <v>0</v>
      </c>
      <c r="C94" s="105">
        <v>175789.56</v>
      </c>
      <c r="D94" s="105">
        <v>175789.56</v>
      </c>
      <c r="E94" s="106">
        <f t="shared" si="17"/>
        <v>100</v>
      </c>
      <c r="F94" s="136">
        <v>0</v>
      </c>
      <c r="G94" s="149"/>
      <c r="H94" s="149"/>
      <c r="I94" s="149"/>
      <c r="J94" s="149"/>
      <c r="K94" s="195"/>
      <c r="L94" s="195">
        <f t="shared" si="16"/>
        <v>0</v>
      </c>
    </row>
    <row r="95" spans="1:12" ht="24.75" customHeight="1" hidden="1" outlineLevel="1">
      <c r="A95" s="223" t="s">
        <v>37</v>
      </c>
      <c r="B95" s="105">
        <v>0</v>
      </c>
      <c r="C95" s="105">
        <v>369749.11</v>
      </c>
      <c r="D95" s="105">
        <v>369749.11</v>
      </c>
      <c r="E95" s="106">
        <f t="shared" si="17"/>
        <v>100</v>
      </c>
      <c r="F95" s="136">
        <v>0</v>
      </c>
      <c r="G95" s="149"/>
      <c r="H95" s="149"/>
      <c r="I95" s="149"/>
      <c r="J95" s="149"/>
      <c r="K95" s="195"/>
      <c r="L95" s="195">
        <f t="shared" si="16"/>
        <v>0</v>
      </c>
    </row>
    <row r="96" spans="1:14" ht="23.25" customHeight="1" collapsed="1">
      <c r="A96" s="223" t="s">
        <v>366</v>
      </c>
      <c r="B96" s="105">
        <v>472405000</v>
      </c>
      <c r="C96" s="105">
        <v>439858176</v>
      </c>
      <c r="D96" s="105">
        <v>307904018.69</v>
      </c>
      <c r="E96" s="106">
        <f t="shared" si="17"/>
        <v>70.0007492164929</v>
      </c>
      <c r="F96" s="136">
        <f>258902000</f>
        <v>258902000</v>
      </c>
      <c r="G96" s="152" t="s">
        <v>219</v>
      </c>
      <c r="H96" s="152">
        <f>F96/1000+40000+4555</f>
        <v>303457</v>
      </c>
      <c r="I96" s="149"/>
      <c r="J96" s="149"/>
      <c r="K96" s="195">
        <v>472405</v>
      </c>
      <c r="L96" s="195">
        <f>H96+J96+90000+45000+940+50</f>
        <v>439447</v>
      </c>
      <c r="M96" s="167"/>
      <c r="N96" s="122"/>
    </row>
    <row r="97" spans="1:12" ht="24.75" customHeight="1" hidden="1" outlineLevel="1">
      <c r="A97" s="229" t="s">
        <v>38</v>
      </c>
      <c r="B97" s="105">
        <v>0</v>
      </c>
      <c r="C97" s="105">
        <v>13818447</v>
      </c>
      <c r="D97" s="105">
        <v>13018447</v>
      </c>
      <c r="E97" s="106">
        <f t="shared" si="17"/>
        <v>94.21063741822798</v>
      </c>
      <c r="F97" s="136">
        <v>0</v>
      </c>
      <c r="G97" s="149"/>
      <c r="H97" s="149"/>
      <c r="I97" s="149"/>
      <c r="J97" s="149"/>
      <c r="K97" s="195"/>
      <c r="L97" s="197"/>
    </row>
    <row r="98" spans="1:12" ht="24.75" customHeight="1" hidden="1" outlineLevel="1">
      <c r="A98" s="229" t="s">
        <v>39</v>
      </c>
      <c r="B98" s="105">
        <v>0</v>
      </c>
      <c r="C98" s="105">
        <v>99164.3</v>
      </c>
      <c r="D98" s="105">
        <v>99164.3</v>
      </c>
      <c r="E98" s="106">
        <f t="shared" si="17"/>
        <v>100</v>
      </c>
      <c r="F98" s="136">
        <v>0</v>
      </c>
      <c r="G98" s="149"/>
      <c r="H98" s="149"/>
      <c r="I98" s="149"/>
      <c r="J98" s="149"/>
      <c r="K98" s="195"/>
      <c r="L98" s="197"/>
    </row>
    <row r="99" spans="1:12" ht="24.75" customHeight="1" hidden="1" outlineLevel="1">
      <c r="A99" s="229" t="s">
        <v>40</v>
      </c>
      <c r="B99" s="105">
        <v>0</v>
      </c>
      <c r="C99" s="105">
        <v>1547152.02</v>
      </c>
      <c r="D99" s="105">
        <v>1547152.02</v>
      </c>
      <c r="E99" s="106">
        <f t="shared" si="17"/>
        <v>100</v>
      </c>
      <c r="F99" s="136">
        <v>0</v>
      </c>
      <c r="G99" s="149"/>
      <c r="H99" s="149"/>
      <c r="I99" s="149"/>
      <c r="J99" s="149"/>
      <c r="K99" s="195"/>
      <c r="L99" s="197"/>
    </row>
    <row r="100" spans="1:12" ht="24.75" customHeight="1" hidden="1" outlineLevel="1">
      <c r="A100" s="229" t="s">
        <v>41</v>
      </c>
      <c r="B100" s="105">
        <v>0</v>
      </c>
      <c r="C100" s="105">
        <v>1282600</v>
      </c>
      <c r="D100" s="105">
        <v>1282600</v>
      </c>
      <c r="E100" s="106">
        <f t="shared" si="17"/>
        <v>100</v>
      </c>
      <c r="F100" s="136">
        <v>0</v>
      </c>
      <c r="G100" s="149"/>
      <c r="H100" s="149"/>
      <c r="I100" s="149"/>
      <c r="J100" s="149"/>
      <c r="K100" s="195"/>
      <c r="L100" s="197"/>
    </row>
    <row r="101" spans="1:12" ht="24.75" customHeight="1" hidden="1" outlineLevel="1">
      <c r="A101" s="229" t="s">
        <v>649</v>
      </c>
      <c r="B101" s="105">
        <v>0</v>
      </c>
      <c r="C101" s="105">
        <v>147679.94</v>
      </c>
      <c r="D101" s="105">
        <v>147679.94</v>
      </c>
      <c r="E101" s="106">
        <f t="shared" si="17"/>
        <v>100</v>
      </c>
      <c r="F101" s="136">
        <v>0</v>
      </c>
      <c r="G101" s="149"/>
      <c r="H101" s="149"/>
      <c r="I101" s="149"/>
      <c r="J101" s="149"/>
      <c r="K101" s="195"/>
      <c r="L101" s="197"/>
    </row>
    <row r="102" spans="1:12" ht="24.75" customHeight="1" hidden="1" outlineLevel="1">
      <c r="A102" s="229" t="s">
        <v>42</v>
      </c>
      <c r="B102" s="105">
        <v>0</v>
      </c>
      <c r="C102" s="105">
        <v>1291269.13</v>
      </c>
      <c r="D102" s="105">
        <v>1291269.13</v>
      </c>
      <c r="E102" s="106">
        <f t="shared" si="17"/>
        <v>100</v>
      </c>
      <c r="F102" s="136">
        <v>0</v>
      </c>
      <c r="G102" s="149"/>
      <c r="H102" s="149"/>
      <c r="I102" s="149"/>
      <c r="J102" s="149"/>
      <c r="K102" s="195"/>
      <c r="L102" s="197"/>
    </row>
    <row r="103" spans="1:12" ht="24.75" customHeight="1" hidden="1" outlineLevel="1">
      <c r="A103" s="229" t="s">
        <v>43</v>
      </c>
      <c r="B103" s="105">
        <v>0</v>
      </c>
      <c r="C103" s="105">
        <v>129000</v>
      </c>
      <c r="D103" s="105">
        <v>129000</v>
      </c>
      <c r="E103" s="106">
        <f t="shared" si="17"/>
        <v>100</v>
      </c>
      <c r="F103" s="136">
        <v>0</v>
      </c>
      <c r="G103" s="149"/>
      <c r="H103" s="149"/>
      <c r="I103" s="149"/>
      <c r="J103" s="149"/>
      <c r="K103" s="195"/>
      <c r="L103" s="197"/>
    </row>
    <row r="104" spans="1:12" ht="24.75" customHeight="1" hidden="1" outlineLevel="1">
      <c r="A104" s="229" t="s">
        <v>44</v>
      </c>
      <c r="B104" s="105">
        <v>0</v>
      </c>
      <c r="C104" s="105">
        <v>1685793.1</v>
      </c>
      <c r="D104" s="105">
        <v>1685793.1</v>
      </c>
      <c r="E104" s="106">
        <f t="shared" si="17"/>
        <v>100</v>
      </c>
      <c r="F104" s="136">
        <v>0</v>
      </c>
      <c r="G104" s="149"/>
      <c r="H104" s="149"/>
      <c r="I104" s="149"/>
      <c r="J104" s="149"/>
      <c r="K104" s="195"/>
      <c r="L104" s="197"/>
    </row>
    <row r="105" spans="1:12" ht="24.75" customHeight="1" hidden="1" outlineLevel="1">
      <c r="A105" s="229" t="s">
        <v>45</v>
      </c>
      <c r="B105" s="105">
        <v>0</v>
      </c>
      <c r="C105" s="105">
        <v>26301584.5</v>
      </c>
      <c r="D105" s="105">
        <v>26301584.5</v>
      </c>
      <c r="E105" s="106">
        <f t="shared" si="17"/>
        <v>100</v>
      </c>
      <c r="F105" s="136">
        <v>0</v>
      </c>
      <c r="G105" s="149"/>
      <c r="H105" s="149"/>
      <c r="I105" s="149"/>
      <c r="J105" s="149"/>
      <c r="K105" s="195"/>
      <c r="L105" s="197"/>
    </row>
    <row r="106" spans="1:12" ht="24.75" customHeight="1" hidden="1" outlineLevel="1">
      <c r="A106" s="229" t="s">
        <v>46</v>
      </c>
      <c r="B106" s="105">
        <v>0</v>
      </c>
      <c r="C106" s="105">
        <v>21804200</v>
      </c>
      <c r="D106" s="105">
        <v>21804200</v>
      </c>
      <c r="E106" s="106">
        <f t="shared" si="17"/>
        <v>100</v>
      </c>
      <c r="F106" s="136">
        <v>0</v>
      </c>
      <c r="G106" s="149"/>
      <c r="H106" s="149"/>
      <c r="I106" s="149"/>
      <c r="J106" s="149"/>
      <c r="K106" s="195"/>
      <c r="L106" s="197"/>
    </row>
    <row r="107" spans="1:12" ht="24.75" customHeight="1" hidden="1" outlineLevel="1">
      <c r="A107" s="229" t="s">
        <v>47</v>
      </c>
      <c r="B107" s="105">
        <v>0</v>
      </c>
      <c r="C107" s="105">
        <v>126864639.05</v>
      </c>
      <c r="D107" s="105">
        <v>126864639.05</v>
      </c>
      <c r="E107" s="106">
        <f t="shared" si="17"/>
        <v>100</v>
      </c>
      <c r="F107" s="136">
        <v>0</v>
      </c>
      <c r="G107" s="149"/>
      <c r="H107" s="149"/>
      <c r="I107" s="149"/>
      <c r="J107" s="149"/>
      <c r="K107" s="195"/>
      <c r="L107" s="197"/>
    </row>
    <row r="108" spans="1:12" ht="24.75" customHeight="1" hidden="1" outlineLevel="1">
      <c r="A108" s="227" t="s">
        <v>48</v>
      </c>
      <c r="B108" s="111">
        <v>0</v>
      </c>
      <c r="C108" s="111">
        <v>675422.15</v>
      </c>
      <c r="D108" s="111">
        <v>675422.15</v>
      </c>
      <c r="E108" s="113">
        <f t="shared" si="17"/>
        <v>100</v>
      </c>
      <c r="F108" s="140">
        <v>0</v>
      </c>
      <c r="G108" s="149"/>
      <c r="H108" s="149"/>
      <c r="I108" s="149"/>
      <c r="J108" s="149"/>
      <c r="K108" s="195"/>
      <c r="L108" s="197"/>
    </row>
    <row r="109" spans="1:12" ht="24.75" customHeight="1" hidden="1" outlineLevel="1">
      <c r="A109" s="227" t="s">
        <v>49</v>
      </c>
      <c r="B109" s="111">
        <v>0</v>
      </c>
      <c r="C109" s="111">
        <v>7183861.92</v>
      </c>
      <c r="D109" s="111">
        <v>7183861.92</v>
      </c>
      <c r="E109" s="113">
        <f t="shared" si="17"/>
        <v>100</v>
      </c>
      <c r="F109" s="140">
        <v>0</v>
      </c>
      <c r="G109" s="149"/>
      <c r="H109" s="149"/>
      <c r="I109" s="149"/>
      <c r="J109" s="149"/>
      <c r="K109" s="195"/>
      <c r="L109" s="197"/>
    </row>
    <row r="110" spans="1:12" ht="24.75" customHeight="1" hidden="1" outlineLevel="1">
      <c r="A110" s="229" t="s">
        <v>50</v>
      </c>
      <c r="B110" s="105">
        <v>0</v>
      </c>
      <c r="C110" s="105">
        <v>4687882.58</v>
      </c>
      <c r="D110" s="105">
        <v>4687882.58</v>
      </c>
      <c r="E110" s="106">
        <f t="shared" si="17"/>
        <v>100</v>
      </c>
      <c r="F110" s="136">
        <v>0</v>
      </c>
      <c r="G110" s="149"/>
      <c r="H110" s="149"/>
      <c r="I110" s="149"/>
      <c r="J110" s="149"/>
      <c r="K110" s="195"/>
      <c r="L110" s="197"/>
    </row>
    <row r="111" spans="1:12" ht="32.25" customHeight="1" hidden="1" outlineLevel="1">
      <c r="A111" s="230" t="s">
        <v>51</v>
      </c>
      <c r="B111" s="105">
        <v>0</v>
      </c>
      <c r="C111" s="105">
        <v>1408968.07</v>
      </c>
      <c r="D111" s="105">
        <v>1408968.07</v>
      </c>
      <c r="E111" s="106">
        <f t="shared" si="17"/>
        <v>100</v>
      </c>
      <c r="F111" s="136">
        <v>0</v>
      </c>
      <c r="G111" s="149"/>
      <c r="H111" s="149"/>
      <c r="I111" s="149"/>
      <c r="J111" s="149"/>
      <c r="K111" s="195"/>
      <c r="L111" s="197"/>
    </row>
    <row r="112" spans="1:12" ht="24.75" customHeight="1" hidden="1" outlineLevel="1">
      <c r="A112" s="229" t="s">
        <v>54</v>
      </c>
      <c r="B112" s="105">
        <v>0</v>
      </c>
      <c r="C112" s="105">
        <v>4666644.74</v>
      </c>
      <c r="D112" s="105">
        <v>4666644.74</v>
      </c>
      <c r="E112" s="106">
        <f t="shared" si="17"/>
        <v>100</v>
      </c>
      <c r="F112" s="136">
        <v>0</v>
      </c>
      <c r="G112" s="149"/>
      <c r="H112" s="149"/>
      <c r="I112" s="149"/>
      <c r="J112" s="149"/>
      <c r="K112" s="195"/>
      <c r="L112" s="197"/>
    </row>
    <row r="113" spans="1:12" ht="24.75" customHeight="1" hidden="1" outlineLevel="1">
      <c r="A113" s="229" t="s">
        <v>346</v>
      </c>
      <c r="B113" s="105">
        <v>0</v>
      </c>
      <c r="C113" s="105">
        <v>24057191.66</v>
      </c>
      <c r="D113" s="105">
        <v>24057191.66</v>
      </c>
      <c r="E113" s="106">
        <f t="shared" si="17"/>
        <v>100</v>
      </c>
      <c r="F113" s="136">
        <v>0</v>
      </c>
      <c r="G113" s="149"/>
      <c r="H113" s="149"/>
      <c r="I113" s="149"/>
      <c r="J113" s="149"/>
      <c r="K113" s="195"/>
      <c r="L113" s="197"/>
    </row>
    <row r="114" spans="1:12" ht="24.75" customHeight="1" collapsed="1">
      <c r="A114" s="226" t="s">
        <v>347</v>
      </c>
      <c r="B114" s="110">
        <f>SUM(B54:B97)</f>
        <v>577681000</v>
      </c>
      <c r="C114" s="110">
        <f aca="true" t="shared" si="18" ref="C114:J114">SUM(C54:C97)</f>
        <v>595825871.8800001</v>
      </c>
      <c r="D114" s="110">
        <f t="shared" si="18"/>
        <v>444380183.96000004</v>
      </c>
      <c r="E114" s="110">
        <f t="shared" si="18"/>
        <v>4244.957373149061</v>
      </c>
      <c r="F114" s="110">
        <f t="shared" si="18"/>
        <v>346227000</v>
      </c>
      <c r="G114" s="110">
        <f t="shared" si="18"/>
        <v>0</v>
      </c>
      <c r="H114" s="110">
        <f t="shared" si="18"/>
        <v>390782</v>
      </c>
      <c r="I114" s="110">
        <f t="shared" si="18"/>
        <v>0</v>
      </c>
      <c r="J114" s="110">
        <f t="shared" si="18"/>
        <v>-14000</v>
      </c>
      <c r="K114" s="193">
        <v>579826</v>
      </c>
      <c r="L114" s="192">
        <f>SUM(L54:L96)</f>
        <v>512772</v>
      </c>
    </row>
    <row r="115" spans="1:12" ht="24.75" customHeight="1">
      <c r="A115" s="231" t="s">
        <v>348</v>
      </c>
      <c r="B115" s="119" t="e">
        <f>B24+B49+#REF!+B114</f>
        <v>#REF!</v>
      </c>
      <c r="C115" s="119" t="e">
        <f>C24+C49+#REF!+C114</f>
        <v>#REF!</v>
      </c>
      <c r="D115" s="119" t="e">
        <f>D24+D49+#REF!+D114</f>
        <v>#REF!</v>
      </c>
      <c r="E115" s="119" t="e">
        <f>E24+E49+#REF!+E114</f>
        <v>#REF!</v>
      </c>
      <c r="F115" s="119" t="e">
        <f>F24+F49+#REF!+F114</f>
        <v>#REF!</v>
      </c>
      <c r="G115" s="119" t="e">
        <f>G24+G49+#REF!+G114</f>
        <v>#REF!</v>
      </c>
      <c r="H115" s="119" t="e">
        <f>H24+H49+#REF!+H114</f>
        <v>#REF!</v>
      </c>
      <c r="I115" s="119" t="e">
        <f>I24+I49+#REF!+I114</f>
        <v>#REF!</v>
      </c>
      <c r="J115" s="119" t="e">
        <f>J24+J49+#REF!+J114</f>
        <v>#REF!</v>
      </c>
      <c r="K115" s="194">
        <v>2357289</v>
      </c>
      <c r="L115" s="194">
        <f>L114+L49+L24</f>
        <v>2187680.5</v>
      </c>
    </row>
    <row r="116" ht="12" customHeight="1"/>
    <row r="117" spans="1:8" ht="13.5" customHeight="1">
      <c r="A117" s="120"/>
      <c r="F117" s="122">
        <v>2073927</v>
      </c>
      <c r="G117" s="122"/>
      <c r="H117" s="122"/>
    </row>
    <row r="118" spans="1:8" ht="12.75" customHeight="1">
      <c r="A118" s="120"/>
      <c r="G118" s="112"/>
      <c r="H118" s="112"/>
    </row>
    <row r="120" ht="12.75">
      <c r="A120" s="121"/>
    </row>
  </sheetData>
  <sheetProtection/>
  <printOptions horizontalCentered="1"/>
  <pageMargins left="0" right="0" top="0.78" bottom="0.41" header="0.43" footer="0.18"/>
  <pageSetup firstPageNumber="2" useFirstPageNumber="1" horizontalDpi="300" verticalDpi="300" orientation="portrait" paperSize="9" scale="75" r:id="rId1"/>
  <headerFooter alignWithMargins="0">
    <oddHeader>&amp;Lv tis. Kč&amp;C&amp;"Arial,Tučné"&amp;12Schválený rozpočet - příjmy rok 2013&amp;R&amp;"Arial,Tučné"Příloha č. 2</oddHeader>
    <oddFooter>&amp;C&amp;P</oddFooter>
  </headerFooter>
  <rowBreaks count="1" manualBreakCount="1">
    <brk id="34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B16384"/>
    </sheetView>
  </sheetViews>
  <sheetFormatPr defaultColWidth="9.140625" defaultRowHeight="12.75" outlineLevelCol="1"/>
  <cols>
    <col min="1" max="1" width="46.57421875" style="73" customWidth="1"/>
    <col min="2" max="2" width="12.7109375" style="73" hidden="1" customWidth="1"/>
    <col min="3" max="3" width="0.13671875" style="73" hidden="1" customWidth="1" outlineLevel="1"/>
    <col min="4" max="4" width="13.28125" style="73" hidden="1" customWidth="1" outlineLevel="1"/>
    <col min="5" max="5" width="8.28125" style="73" hidden="1" customWidth="1" outlineLevel="1"/>
    <col min="6" max="6" width="13.8515625" style="73" hidden="1" customWidth="1" outlineLevel="1"/>
    <col min="7" max="7" width="16.7109375" style="73" hidden="1" customWidth="1" outlineLevel="1"/>
    <col min="8" max="8" width="14.140625" style="73" hidden="1" customWidth="1" outlineLevel="1"/>
    <col min="9" max="9" width="16.8515625" style="79" hidden="1" customWidth="1" collapsed="1"/>
    <col min="10" max="10" width="12.28125" style="100" hidden="1" customWidth="1"/>
    <col min="11" max="11" width="14.140625" style="100" customWidth="1"/>
    <col min="12" max="12" width="28.00390625" style="73" customWidth="1"/>
    <col min="13" max="13" width="14.421875" style="73" customWidth="1"/>
    <col min="14" max="14" width="11.7109375" style="73" bestFit="1" customWidth="1"/>
    <col min="15" max="16384" width="9.140625" style="73" customWidth="1"/>
  </cols>
  <sheetData>
    <row r="1" spans="1:12" ht="97.5" customHeight="1" thickBot="1">
      <c r="A1" s="179" t="s">
        <v>364</v>
      </c>
      <c r="B1" s="179" t="s">
        <v>379</v>
      </c>
      <c r="C1" s="287" t="s">
        <v>380</v>
      </c>
      <c r="D1" s="287"/>
      <c r="E1" s="287" t="s">
        <v>381</v>
      </c>
      <c r="F1" s="288"/>
      <c r="G1" s="181" t="s">
        <v>382</v>
      </c>
      <c r="H1" s="182" t="s">
        <v>383</v>
      </c>
      <c r="I1" s="183" t="s">
        <v>393</v>
      </c>
      <c r="J1" s="184" t="s">
        <v>577</v>
      </c>
      <c r="K1" s="166" t="s">
        <v>460</v>
      </c>
      <c r="L1" s="72"/>
    </row>
    <row r="2" spans="1:14" ht="24.75" customHeight="1">
      <c r="A2" s="74" t="s">
        <v>385</v>
      </c>
      <c r="B2" s="75">
        <v>13985</v>
      </c>
      <c r="C2" s="299">
        <v>14210</v>
      </c>
      <c r="D2" s="299"/>
      <c r="E2" s="299">
        <v>8670</v>
      </c>
      <c r="F2" s="300"/>
      <c r="G2" s="77" t="e">
        <f>#REF!</f>
        <v>#REF!</v>
      </c>
      <c r="H2" s="77" t="e">
        <f>#REF!</f>
        <v>#REF!</v>
      </c>
      <c r="I2" s="144">
        <v>13290</v>
      </c>
      <c r="J2" s="144">
        <f>-(13290*0.05)+3600</f>
        <v>2935.5</v>
      </c>
      <c r="K2" s="144">
        <f>I2+J2-720</f>
        <v>15505.5</v>
      </c>
      <c r="L2" s="163"/>
      <c r="N2" s="80"/>
    </row>
    <row r="3" spans="1:12" ht="24.75" customHeight="1">
      <c r="A3" s="74" t="s">
        <v>386</v>
      </c>
      <c r="B3" s="75">
        <v>2468</v>
      </c>
      <c r="C3" s="299">
        <v>19701</v>
      </c>
      <c r="D3" s="299"/>
      <c r="E3" s="299">
        <v>17947</v>
      </c>
      <c r="F3" s="300"/>
      <c r="G3" s="77" t="e">
        <f>#REF!</f>
        <v>#REF!</v>
      </c>
      <c r="H3" s="77" t="e">
        <f>#REF!</f>
        <v>#REF!</v>
      </c>
      <c r="I3" s="144" t="e">
        <f>2032+H3</f>
        <v>#REF!</v>
      </c>
      <c r="J3" s="144" t="e">
        <f>-(I3*0.05)</f>
        <v>#REF!</v>
      </c>
      <c r="K3" s="144">
        <v>1930</v>
      </c>
      <c r="L3" s="79"/>
    </row>
    <row r="4" spans="1:12" ht="24.75" customHeight="1">
      <c r="A4" s="74" t="s">
        <v>387</v>
      </c>
      <c r="B4" s="75">
        <v>2841</v>
      </c>
      <c r="C4" s="299">
        <v>9084</v>
      </c>
      <c r="D4" s="299"/>
      <c r="E4" s="299">
        <v>1208</v>
      </c>
      <c r="F4" s="300"/>
      <c r="G4" s="77" t="e">
        <f>#REF!</f>
        <v>#REF!</v>
      </c>
      <c r="H4" s="77" t="e">
        <f>#REF!</f>
        <v>#REF!</v>
      </c>
      <c r="I4" s="144" t="e">
        <f>2817+H4</f>
        <v>#REF!</v>
      </c>
      <c r="J4" s="144" t="e">
        <f aca="true" t="shared" si="0" ref="J4:J21">-(I4*0.05)</f>
        <v>#REF!</v>
      </c>
      <c r="K4" s="144">
        <v>2676</v>
      </c>
      <c r="L4" s="79"/>
    </row>
    <row r="5" spans="1:12" ht="24.75" customHeight="1">
      <c r="A5" s="74" t="s">
        <v>388</v>
      </c>
      <c r="B5" s="75">
        <v>59</v>
      </c>
      <c r="C5" s="299">
        <v>116</v>
      </c>
      <c r="D5" s="299"/>
      <c r="E5" s="299">
        <v>64</v>
      </c>
      <c r="F5" s="300"/>
      <c r="G5" s="77" t="e">
        <f>#REF!</f>
        <v>#REF!</v>
      </c>
      <c r="H5" s="77" t="e">
        <f>#REF!</f>
        <v>#REF!</v>
      </c>
      <c r="I5" s="144" t="e">
        <f>G5+H5</f>
        <v>#REF!</v>
      </c>
      <c r="J5" s="144" t="e">
        <f t="shared" si="0"/>
        <v>#REF!</v>
      </c>
      <c r="K5" s="144">
        <v>56</v>
      </c>
      <c r="L5" s="79"/>
    </row>
    <row r="6" spans="1:12" ht="24.75" customHeight="1">
      <c r="A6" s="74" t="s">
        <v>396</v>
      </c>
      <c r="B6" s="75">
        <v>84068</v>
      </c>
      <c r="C6" s="299">
        <v>104208</v>
      </c>
      <c r="D6" s="299"/>
      <c r="E6" s="299">
        <f>42314+148</f>
        <v>42462</v>
      </c>
      <c r="F6" s="300"/>
      <c r="G6" s="77" t="e">
        <f>#REF!</f>
        <v>#REF!</v>
      </c>
      <c r="H6" s="77" t="e">
        <f>#REF!</f>
        <v>#REF!</v>
      </c>
      <c r="I6" s="144" t="e">
        <f>81022+H6</f>
        <v>#REF!</v>
      </c>
      <c r="J6" s="144" t="e">
        <f t="shared" si="0"/>
        <v>#REF!</v>
      </c>
      <c r="K6" s="144">
        <v>69372</v>
      </c>
      <c r="L6" s="79"/>
    </row>
    <row r="7" spans="1:12" ht="24.75" customHeight="1">
      <c r="A7" s="74" t="s">
        <v>397</v>
      </c>
      <c r="B7" s="75">
        <v>21</v>
      </c>
      <c r="C7" s="299">
        <v>13</v>
      </c>
      <c r="D7" s="299"/>
      <c r="E7" s="299">
        <v>5</v>
      </c>
      <c r="F7" s="300"/>
      <c r="G7" s="77" t="e">
        <f>#REF!</f>
        <v>#REF!</v>
      </c>
      <c r="H7" s="77" t="e">
        <f>#REF!</f>
        <v>#REF!</v>
      </c>
      <c r="I7" s="144" t="e">
        <f>G7+H7</f>
        <v>#REF!</v>
      </c>
      <c r="J7" s="144" t="e">
        <f t="shared" si="0"/>
        <v>#REF!</v>
      </c>
      <c r="K7" s="144">
        <v>20</v>
      </c>
      <c r="L7" s="79"/>
    </row>
    <row r="8" spans="1:12" ht="24.75" customHeight="1">
      <c r="A8" s="74" t="s">
        <v>398</v>
      </c>
      <c r="B8" s="75">
        <v>6627</v>
      </c>
      <c r="C8" s="299">
        <v>6522</v>
      </c>
      <c r="D8" s="299"/>
      <c r="E8" s="299">
        <v>4225</v>
      </c>
      <c r="F8" s="300"/>
      <c r="G8" s="77" t="e">
        <f>#REF!</f>
        <v>#REF!</v>
      </c>
      <c r="H8" s="77" t="e">
        <f>#REF!</f>
        <v>#REF!</v>
      </c>
      <c r="I8" s="162">
        <v>7105</v>
      </c>
      <c r="J8" s="144">
        <v>-1056</v>
      </c>
      <c r="K8" s="144">
        <v>6049</v>
      </c>
      <c r="L8" s="79"/>
    </row>
    <row r="9" spans="1:12" ht="24.75" customHeight="1">
      <c r="A9" s="74" t="s">
        <v>399</v>
      </c>
      <c r="B9" s="75">
        <v>1254</v>
      </c>
      <c r="C9" s="299">
        <v>1284</v>
      </c>
      <c r="D9" s="299"/>
      <c r="E9" s="299">
        <v>979</v>
      </c>
      <c r="F9" s="300"/>
      <c r="G9" s="77" t="e">
        <f>#REF!</f>
        <v>#REF!</v>
      </c>
      <c r="H9" s="77" t="e">
        <f>#REF!</f>
        <v>#REF!</v>
      </c>
      <c r="I9" s="144" t="e">
        <f>1502+H9</f>
        <v>#REF!</v>
      </c>
      <c r="J9" s="144">
        <f>-230-64</f>
        <v>-294</v>
      </c>
      <c r="K9" s="144">
        <v>1208</v>
      </c>
      <c r="L9" s="79"/>
    </row>
    <row r="10" spans="1:12" ht="24.75" customHeight="1">
      <c r="A10" s="74" t="s">
        <v>400</v>
      </c>
      <c r="B10" s="75">
        <v>423</v>
      </c>
      <c r="C10" s="299">
        <v>2112</v>
      </c>
      <c r="D10" s="299"/>
      <c r="E10" s="299">
        <v>145</v>
      </c>
      <c r="F10" s="300"/>
      <c r="G10" s="77" t="e">
        <f>#REF!</f>
        <v>#REF!</v>
      </c>
      <c r="H10" s="77" t="e">
        <f>#REF!</f>
        <v>#REF!</v>
      </c>
      <c r="I10" s="144" t="e">
        <f>G10+H10</f>
        <v>#REF!</v>
      </c>
      <c r="J10" s="144" t="e">
        <f t="shared" si="0"/>
        <v>#REF!</v>
      </c>
      <c r="K10" s="144">
        <v>429</v>
      </c>
      <c r="L10" s="79"/>
    </row>
    <row r="11" spans="1:12" ht="24.75" customHeight="1">
      <c r="A11" s="74" t="s">
        <v>401</v>
      </c>
      <c r="B11" s="75">
        <v>14509</v>
      </c>
      <c r="C11" s="299">
        <v>14430</v>
      </c>
      <c r="D11" s="299"/>
      <c r="E11" s="299">
        <v>10046</v>
      </c>
      <c r="F11" s="300"/>
      <c r="G11" s="77" t="e">
        <f>#REF!</f>
        <v>#REF!</v>
      </c>
      <c r="H11" s="77" t="e">
        <f>#REF!</f>
        <v>#REF!</v>
      </c>
      <c r="I11" s="144" t="e">
        <f>17191+H11</f>
        <v>#REF!</v>
      </c>
      <c r="J11" s="144" t="e">
        <f t="shared" si="0"/>
        <v>#REF!</v>
      </c>
      <c r="K11" s="144">
        <v>16331</v>
      </c>
      <c r="L11" s="79"/>
    </row>
    <row r="12" spans="1:12" ht="24.75" customHeight="1">
      <c r="A12" s="74" t="s">
        <v>402</v>
      </c>
      <c r="B12" s="75">
        <v>24080</v>
      </c>
      <c r="C12" s="299">
        <v>25506</v>
      </c>
      <c r="D12" s="299"/>
      <c r="E12" s="299">
        <v>15246</v>
      </c>
      <c r="F12" s="300"/>
      <c r="G12" s="77" t="e">
        <f>#REF!</f>
        <v>#REF!</v>
      </c>
      <c r="H12" s="77" t="e">
        <f>#REF!</f>
        <v>#REF!</v>
      </c>
      <c r="I12" s="144" t="e">
        <f>24122+H12</f>
        <v>#REF!</v>
      </c>
      <c r="J12" s="144" t="e">
        <f t="shared" si="0"/>
        <v>#REF!</v>
      </c>
      <c r="K12" s="144">
        <v>22916</v>
      </c>
      <c r="L12" s="79"/>
    </row>
    <row r="13" spans="1:12" ht="24.75" customHeight="1">
      <c r="A13" s="74" t="s">
        <v>403</v>
      </c>
      <c r="B13" s="75">
        <v>5900</v>
      </c>
      <c r="C13" s="299">
        <v>19766</v>
      </c>
      <c r="D13" s="299"/>
      <c r="E13" s="299">
        <v>17148</v>
      </c>
      <c r="F13" s="300"/>
      <c r="G13" s="77" t="e">
        <f>#REF!</f>
        <v>#REF!</v>
      </c>
      <c r="H13" s="77" t="e">
        <f>#REF!</f>
        <v>#REF!</v>
      </c>
      <c r="I13" s="144" t="e">
        <f>4984+H13</f>
        <v>#REF!</v>
      </c>
      <c r="J13" s="144" t="e">
        <f t="shared" si="0"/>
        <v>#REF!</v>
      </c>
      <c r="K13" s="144">
        <v>4735</v>
      </c>
      <c r="L13" s="79"/>
    </row>
    <row r="14" spans="1:12" ht="24.75" customHeight="1">
      <c r="A14" s="74" t="s">
        <v>404</v>
      </c>
      <c r="B14" s="75">
        <v>6024</v>
      </c>
      <c r="C14" s="299">
        <v>10644</v>
      </c>
      <c r="D14" s="299"/>
      <c r="E14" s="299">
        <v>6493</v>
      </c>
      <c r="F14" s="300"/>
      <c r="G14" s="77" t="e">
        <f>#REF!</f>
        <v>#REF!</v>
      </c>
      <c r="H14" s="77" t="e">
        <f>#REF!</f>
        <v>#REF!</v>
      </c>
      <c r="I14" s="144">
        <v>6624</v>
      </c>
      <c r="J14" s="144">
        <v>-901</v>
      </c>
      <c r="K14" s="144">
        <f>I14+J14+5399</f>
        <v>11122</v>
      </c>
      <c r="L14" s="79"/>
    </row>
    <row r="15" spans="1:12" ht="24.75" customHeight="1">
      <c r="A15" s="74" t="s">
        <v>405</v>
      </c>
      <c r="B15" s="75">
        <v>90239</v>
      </c>
      <c r="C15" s="299">
        <v>90501</v>
      </c>
      <c r="D15" s="299"/>
      <c r="E15" s="299">
        <v>59367</v>
      </c>
      <c r="F15" s="300"/>
      <c r="G15" s="77" t="e">
        <f>#REF!</f>
        <v>#REF!</v>
      </c>
      <c r="H15" s="77" t="e">
        <f>#REF!</f>
        <v>#REF!</v>
      </c>
      <c r="I15" s="144" t="e">
        <f>G15+H15</f>
        <v>#REF!</v>
      </c>
      <c r="J15" s="144" t="e">
        <f t="shared" si="0"/>
        <v>#REF!</v>
      </c>
      <c r="K15" s="144">
        <v>76400</v>
      </c>
      <c r="L15" s="79"/>
    </row>
    <row r="16" spans="1:12" ht="24.75" customHeight="1">
      <c r="A16" s="74" t="s">
        <v>542</v>
      </c>
      <c r="B16" s="75">
        <v>0</v>
      </c>
      <c r="C16" s="75"/>
      <c r="D16" s="75">
        <v>0</v>
      </c>
      <c r="E16" s="75"/>
      <c r="F16" s="76">
        <v>0</v>
      </c>
      <c r="G16" s="77" t="e">
        <f>#REF!</f>
        <v>#REF!</v>
      </c>
      <c r="H16" s="77">
        <v>0</v>
      </c>
      <c r="I16" s="77" t="e">
        <f>#REF!</f>
        <v>#REF!</v>
      </c>
      <c r="J16" s="77">
        <v>-4000</v>
      </c>
      <c r="K16" s="144">
        <v>30975</v>
      </c>
      <c r="L16" s="79"/>
    </row>
    <row r="17" spans="1:12" ht="24.75" customHeight="1">
      <c r="A17" s="74" t="s">
        <v>406</v>
      </c>
      <c r="B17" s="75">
        <v>10000</v>
      </c>
      <c r="C17" s="299">
        <v>10044</v>
      </c>
      <c r="D17" s="299"/>
      <c r="E17" s="299">
        <v>6742</v>
      </c>
      <c r="F17" s="300"/>
      <c r="G17" s="77" t="e">
        <f>#REF!</f>
        <v>#REF!</v>
      </c>
      <c r="H17" s="77" t="e">
        <f>#REF!</f>
        <v>#REF!</v>
      </c>
      <c r="I17" s="144" t="e">
        <f>10100+H17</f>
        <v>#REF!</v>
      </c>
      <c r="J17" s="144">
        <v>-600</v>
      </c>
      <c r="K17" s="144">
        <v>9500</v>
      </c>
      <c r="L17" s="79"/>
    </row>
    <row r="18" spans="1:12" ht="24.75" customHeight="1">
      <c r="A18" s="74" t="s">
        <v>407</v>
      </c>
      <c r="B18" s="75">
        <v>27446</v>
      </c>
      <c r="C18" s="299">
        <v>34043</v>
      </c>
      <c r="D18" s="299"/>
      <c r="E18" s="299">
        <v>15837</v>
      </c>
      <c r="F18" s="300"/>
      <c r="G18" s="77" t="e">
        <f>#REF!</f>
        <v>#REF!</v>
      </c>
      <c r="H18" s="77" t="e">
        <f>#REF!</f>
        <v>#REF!</v>
      </c>
      <c r="I18" s="144" t="e">
        <f>26051+H18</f>
        <v>#REF!</v>
      </c>
      <c r="J18" s="144">
        <v>-600</v>
      </c>
      <c r="K18" s="144">
        <v>25451</v>
      </c>
      <c r="L18" s="79"/>
    </row>
    <row r="19" spans="1:12" ht="24.75" customHeight="1">
      <c r="A19" s="74" t="s">
        <v>408</v>
      </c>
      <c r="B19" s="75">
        <v>10071</v>
      </c>
      <c r="C19" s="299">
        <v>10003</v>
      </c>
      <c r="D19" s="299"/>
      <c r="E19" s="299">
        <v>8216</v>
      </c>
      <c r="F19" s="300"/>
      <c r="G19" s="77" t="e">
        <f>#REF!</f>
        <v>#REF!</v>
      </c>
      <c r="H19" s="77" t="e">
        <f>#REF!</f>
        <v>#REF!</v>
      </c>
      <c r="I19" s="144" t="e">
        <f>9171+H19</f>
        <v>#REF!</v>
      </c>
      <c r="J19" s="144" t="e">
        <f t="shared" si="0"/>
        <v>#REF!</v>
      </c>
      <c r="K19" s="144">
        <v>8712</v>
      </c>
      <c r="L19" s="79"/>
    </row>
    <row r="20" spans="1:12" ht="24.75" customHeight="1">
      <c r="A20" s="74" t="s">
        <v>409</v>
      </c>
      <c r="B20" s="75">
        <v>3233</v>
      </c>
      <c r="C20" s="299">
        <v>3326</v>
      </c>
      <c r="D20" s="299"/>
      <c r="E20" s="299">
        <v>2109</v>
      </c>
      <c r="F20" s="300"/>
      <c r="G20" s="77" t="e">
        <f>#REF!</f>
        <v>#REF!</v>
      </c>
      <c r="H20" s="77" t="e">
        <f>#REF!</f>
        <v>#REF!</v>
      </c>
      <c r="I20" s="144" t="e">
        <f>3158+H20</f>
        <v>#REF!</v>
      </c>
      <c r="J20" s="144" t="e">
        <f t="shared" si="0"/>
        <v>#REF!</v>
      </c>
      <c r="K20" s="144">
        <v>3000</v>
      </c>
      <c r="L20" s="79"/>
    </row>
    <row r="21" spans="1:12" ht="24.75" customHeight="1">
      <c r="A21" s="74" t="s">
        <v>410</v>
      </c>
      <c r="B21" s="75">
        <v>2535</v>
      </c>
      <c r="C21" s="299">
        <v>6440</v>
      </c>
      <c r="D21" s="299"/>
      <c r="E21" s="299">
        <v>2379</v>
      </c>
      <c r="F21" s="300"/>
      <c r="G21" s="77" t="e">
        <f>#REF!</f>
        <v>#REF!</v>
      </c>
      <c r="H21" s="77" t="e">
        <f>#REF!</f>
        <v>#REF!</v>
      </c>
      <c r="I21" s="144" t="e">
        <f>2535+H21</f>
        <v>#REF!</v>
      </c>
      <c r="J21" s="144" t="e">
        <f t="shared" si="0"/>
        <v>#REF!</v>
      </c>
      <c r="K21" s="144">
        <v>2408</v>
      </c>
      <c r="L21" s="79"/>
    </row>
    <row r="22" spans="1:12" ht="24.75" customHeight="1">
      <c r="A22" s="185" t="s">
        <v>363</v>
      </c>
      <c r="B22" s="186">
        <f>SUM(B2:B21)</f>
        <v>305783</v>
      </c>
      <c r="C22" s="186">
        <f>SUM(C2:C21)</f>
        <v>381953</v>
      </c>
      <c r="D22" s="186">
        <f>SUM(C2:D21)</f>
        <v>381953</v>
      </c>
      <c r="E22" s="186">
        <f>SUM(D2:E21)</f>
        <v>219288</v>
      </c>
      <c r="F22" s="186">
        <f>SUM(E2:F21)</f>
        <v>219288</v>
      </c>
      <c r="G22" s="186">
        <f>13290+2032+2817+59+81022+21+7305+1502+452+17191+24122+4984+6624+115396+10100+26051+9171+3158+2535</f>
        <v>327832</v>
      </c>
      <c r="H22" s="186" t="e">
        <f>SUM(H2:H21)</f>
        <v>#REF!</v>
      </c>
      <c r="I22" s="187" t="e">
        <f>SUM(I2:I21)</f>
        <v>#REF!</v>
      </c>
      <c r="J22" s="187" t="e">
        <f>SUM(J2:J21)</f>
        <v>#REF!</v>
      </c>
      <c r="K22" s="187">
        <f>SUM(K2:K21)</f>
        <v>308795.5</v>
      </c>
      <c r="L22" s="81"/>
    </row>
  </sheetData>
  <sheetProtection/>
  <mergeCells count="40">
    <mergeCell ref="C21:D21"/>
    <mergeCell ref="E21:F21"/>
    <mergeCell ref="C18:D18"/>
    <mergeCell ref="E18:F18"/>
    <mergeCell ref="C19:D19"/>
    <mergeCell ref="E19:F19"/>
    <mergeCell ref="C20:D20"/>
    <mergeCell ref="E20:F20"/>
    <mergeCell ref="C17:D17"/>
    <mergeCell ref="E17:F17"/>
    <mergeCell ref="C14:D14"/>
    <mergeCell ref="E14:F14"/>
    <mergeCell ref="C15:D15"/>
    <mergeCell ref="E15:F15"/>
    <mergeCell ref="C9:D9"/>
    <mergeCell ref="E9:F9"/>
    <mergeCell ref="C10:D10"/>
    <mergeCell ref="E10:F10"/>
    <mergeCell ref="C13:D13"/>
    <mergeCell ref="E13:F13"/>
    <mergeCell ref="C11:D11"/>
    <mergeCell ref="E11:F11"/>
    <mergeCell ref="C12:D12"/>
    <mergeCell ref="E12:F12"/>
    <mergeCell ref="C3:D3"/>
    <mergeCell ref="E3:F3"/>
    <mergeCell ref="C5:D5"/>
    <mergeCell ref="E5:F5"/>
    <mergeCell ref="C4:D4"/>
    <mergeCell ref="E4:F4"/>
    <mergeCell ref="C1:D1"/>
    <mergeCell ref="E1:F1"/>
    <mergeCell ref="C2:D2"/>
    <mergeCell ref="E2:F2"/>
    <mergeCell ref="C8:D8"/>
    <mergeCell ref="E8:F8"/>
    <mergeCell ref="C6:D6"/>
    <mergeCell ref="E6:F6"/>
    <mergeCell ref="C7:D7"/>
    <mergeCell ref="E7:F7"/>
  </mergeCells>
  <printOptions/>
  <pageMargins left="1.84" right="0.16" top="1.48" bottom="0.23" header="0.81" footer="0.23"/>
  <pageSetup firstPageNumber="4" useFirstPageNumber="1" horizontalDpi="300" verticalDpi="300" orientation="portrait" paperSize="9" scale="67" r:id="rId1"/>
  <headerFooter alignWithMargins="0">
    <oddHeader>&amp;L&amp;"Arial,Tučné"v tis. Kč&amp;C&amp;"Arial,Tučné"&amp;12Schválený rozpočet  rok 2013 - sumář odborů MMOl&amp;R&amp;"Arial,Tučné"Příloha č. 3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W7" sqref="W7"/>
    </sheetView>
  </sheetViews>
  <sheetFormatPr defaultColWidth="9.140625" defaultRowHeight="12.75"/>
  <cols>
    <col min="1" max="1" width="50.140625" style="0" customWidth="1"/>
    <col min="2" max="2" width="0.13671875" style="0" customWidth="1"/>
    <col min="3" max="3" width="14.00390625" style="129" hidden="1" customWidth="1"/>
    <col min="4" max="4" width="10.8515625" style="129" hidden="1" customWidth="1"/>
    <col min="5" max="5" width="0.13671875" style="129" hidden="1" customWidth="1"/>
    <col min="6" max="6" width="10.8515625" style="129" hidden="1" customWidth="1"/>
    <col min="7" max="7" width="0.9921875" style="129" hidden="1" customWidth="1"/>
    <col min="8" max="8" width="0.13671875" style="129" hidden="1" customWidth="1"/>
    <col min="9" max="10" width="12.00390625" style="129" hidden="1" customWidth="1"/>
    <col min="11" max="11" width="11.00390625" style="129" hidden="1" customWidth="1"/>
    <col min="12" max="12" width="14.00390625" style="217" customWidth="1"/>
    <col min="13" max="13" width="9.140625" style="0" hidden="1" customWidth="1"/>
    <col min="18" max="18" width="10.57421875" style="0" customWidth="1"/>
  </cols>
  <sheetData>
    <row r="1" spans="1:18" ht="57" customHeight="1" thickBot="1">
      <c r="A1" s="237"/>
      <c r="B1" s="238" t="s">
        <v>182</v>
      </c>
      <c r="C1" s="239" t="s">
        <v>207</v>
      </c>
      <c r="D1" s="268" t="s">
        <v>350</v>
      </c>
      <c r="E1" s="268"/>
      <c r="F1" s="268" t="s">
        <v>161</v>
      </c>
      <c r="G1" s="268"/>
      <c r="H1" s="268"/>
      <c r="I1" s="239" t="s">
        <v>351</v>
      </c>
      <c r="J1" s="239" t="s">
        <v>238</v>
      </c>
      <c r="K1" s="239" t="s">
        <v>392</v>
      </c>
      <c r="L1" s="285" t="s">
        <v>460</v>
      </c>
      <c r="M1" s="285"/>
      <c r="N1" s="285" t="s">
        <v>384</v>
      </c>
      <c r="O1" s="285"/>
      <c r="P1" s="285"/>
      <c r="Q1" s="285"/>
      <c r="R1" s="286"/>
    </row>
    <row r="2" spans="1:18" s="2" customFormat="1" ht="30" customHeight="1">
      <c r="A2" s="270" t="s">
        <v>272</v>
      </c>
      <c r="B2" s="270"/>
      <c r="C2" s="235" t="s">
        <v>543</v>
      </c>
      <c r="D2" s="271" t="s">
        <v>543</v>
      </c>
      <c r="E2" s="272"/>
      <c r="F2" s="272" t="s">
        <v>179</v>
      </c>
      <c r="G2" s="272"/>
      <c r="H2" s="272"/>
      <c r="I2" s="236" t="s">
        <v>543</v>
      </c>
      <c r="J2" s="236"/>
      <c r="K2" s="236" t="e">
        <f>SUM(#REF!)</f>
        <v>#REF!</v>
      </c>
      <c r="L2" s="269">
        <v>750</v>
      </c>
      <c r="M2" s="269"/>
      <c r="N2" s="292"/>
      <c r="O2" s="293"/>
      <c r="P2" s="293"/>
      <c r="Q2" s="293"/>
      <c r="R2" s="293"/>
    </row>
    <row r="3" spans="1:18" s="211" customFormat="1" ht="30" customHeight="1">
      <c r="A3" s="289" t="s">
        <v>127</v>
      </c>
      <c r="B3" s="289"/>
      <c r="C3" s="232" t="s">
        <v>543</v>
      </c>
      <c r="D3" s="296" t="s">
        <v>543</v>
      </c>
      <c r="E3" s="290"/>
      <c r="F3" s="290" t="s">
        <v>179</v>
      </c>
      <c r="G3" s="290"/>
      <c r="H3" s="290"/>
      <c r="I3" s="207" t="s">
        <v>543</v>
      </c>
      <c r="J3" s="207" t="str">
        <f>I3</f>
        <v>750</v>
      </c>
      <c r="K3" s="210">
        <v>750</v>
      </c>
      <c r="L3" s="291">
        <f>L2</f>
        <v>750</v>
      </c>
      <c r="M3" s="291"/>
      <c r="N3" s="292"/>
      <c r="O3" s="293"/>
      <c r="P3" s="293"/>
      <c r="Q3" s="293"/>
      <c r="R3" s="293"/>
    </row>
    <row r="4" spans="1:18" s="211" customFormat="1" ht="30" customHeight="1">
      <c r="A4" s="283" t="s">
        <v>544</v>
      </c>
      <c r="B4" s="283"/>
      <c r="C4" s="233">
        <v>8525</v>
      </c>
      <c r="D4" s="297">
        <v>5335</v>
      </c>
      <c r="E4" s="298"/>
      <c r="F4" s="298">
        <v>5155</v>
      </c>
      <c r="G4" s="298"/>
      <c r="H4" s="298"/>
      <c r="I4" s="212">
        <v>12562</v>
      </c>
      <c r="J4" s="212" t="e">
        <f>#REF!+#REF!+#REF!+#REF!+#REF!+#REF!+#REF!+#REF!+#REF!+#REF!+#REF!+#REF!+#REF!+#REF!+#REF!+#REF!+#REF!+#REF!+#REF!+#REF!</f>
        <v>#REF!</v>
      </c>
      <c r="K4" s="207">
        <v>12525</v>
      </c>
      <c r="L4" s="284">
        <v>11725</v>
      </c>
      <c r="M4" s="284"/>
      <c r="N4" s="292"/>
      <c r="O4" s="293"/>
      <c r="P4" s="293"/>
      <c r="Q4" s="293"/>
      <c r="R4" s="293"/>
    </row>
    <row r="5" spans="1:24" s="211" customFormat="1" ht="30" customHeight="1">
      <c r="A5" s="283" t="s">
        <v>95</v>
      </c>
      <c r="B5" s="283"/>
      <c r="C5" s="233">
        <v>17220</v>
      </c>
      <c r="D5" s="297">
        <v>38064</v>
      </c>
      <c r="E5" s="298"/>
      <c r="F5" s="298">
        <v>34213</v>
      </c>
      <c r="G5" s="298"/>
      <c r="H5" s="298"/>
      <c r="I5" s="212">
        <v>23100</v>
      </c>
      <c r="J5" s="212">
        <f>C5+20000</f>
        <v>37220</v>
      </c>
      <c r="K5" s="210">
        <v>37300</v>
      </c>
      <c r="L5" s="298">
        <v>33200</v>
      </c>
      <c r="M5" s="298"/>
      <c r="N5" s="292"/>
      <c r="O5" s="293"/>
      <c r="P5" s="293"/>
      <c r="Q5" s="293"/>
      <c r="R5" s="293"/>
      <c r="X5" s="216"/>
    </row>
    <row r="6" spans="1:19" s="211" customFormat="1" ht="30" customHeight="1">
      <c r="A6" s="283" t="s">
        <v>133</v>
      </c>
      <c r="B6" s="283"/>
      <c r="C6" s="233">
        <f>550+350+200</f>
        <v>1100</v>
      </c>
      <c r="D6" s="297" t="s">
        <v>249</v>
      </c>
      <c r="E6" s="298"/>
      <c r="F6" s="298" t="s">
        <v>249</v>
      </c>
      <c r="G6" s="298"/>
      <c r="H6" s="298"/>
      <c r="I6" s="212">
        <f>600+470</f>
        <v>1070</v>
      </c>
      <c r="J6" s="212">
        <f>2150+470</f>
        <v>2620</v>
      </c>
      <c r="K6" s="207">
        <v>2500</v>
      </c>
      <c r="L6" s="298">
        <v>2380</v>
      </c>
      <c r="M6" s="282"/>
      <c r="N6" s="292"/>
      <c r="O6" s="293"/>
      <c r="P6" s="293"/>
      <c r="Q6" s="293"/>
      <c r="R6" s="293"/>
      <c r="S6" s="213"/>
    </row>
    <row r="7" spans="1:18" s="211" customFormat="1" ht="30" customHeight="1">
      <c r="A7" s="281" t="s">
        <v>146</v>
      </c>
      <c r="B7" s="281"/>
      <c r="C7" s="232">
        <f>C4+C5+C6</f>
        <v>26845</v>
      </c>
      <c r="D7" s="296">
        <v>51167</v>
      </c>
      <c r="E7" s="290"/>
      <c r="F7" s="290">
        <v>46070</v>
      </c>
      <c r="G7" s="290"/>
      <c r="H7" s="290"/>
      <c r="I7" s="207">
        <v>40252</v>
      </c>
      <c r="J7" s="207">
        <f>C7+20000+4000+1600</f>
        <v>52445</v>
      </c>
      <c r="K7" s="214">
        <f>K4+K5+K6</f>
        <v>52325</v>
      </c>
      <c r="L7" s="290">
        <f>L6+L5+L4</f>
        <v>47305</v>
      </c>
      <c r="M7" s="291"/>
      <c r="N7" s="292"/>
      <c r="O7" s="293"/>
      <c r="P7" s="293"/>
      <c r="Q7" s="293"/>
      <c r="R7" s="293"/>
    </row>
    <row r="8" spans="1:18" s="211" customFormat="1" ht="30" customHeight="1">
      <c r="A8" s="281" t="s">
        <v>210</v>
      </c>
      <c r="B8" s="281"/>
      <c r="C8" s="232">
        <v>3250</v>
      </c>
      <c r="D8" s="296">
        <v>4020</v>
      </c>
      <c r="E8" s="290"/>
      <c r="F8" s="290">
        <v>3635</v>
      </c>
      <c r="G8" s="290"/>
      <c r="H8" s="290"/>
      <c r="I8" s="207">
        <v>6350</v>
      </c>
      <c r="J8" s="207">
        <f>C8+2800</f>
        <v>6050</v>
      </c>
      <c r="K8" s="214">
        <v>6050</v>
      </c>
      <c r="L8" s="290">
        <v>5490</v>
      </c>
      <c r="M8" s="291"/>
      <c r="N8" s="292"/>
      <c r="O8" s="293"/>
      <c r="P8" s="293"/>
      <c r="Q8" s="293"/>
      <c r="R8" s="293"/>
    </row>
    <row r="9" spans="1:18" s="211" customFormat="1" ht="30" customHeight="1">
      <c r="A9" s="206" t="s">
        <v>371</v>
      </c>
      <c r="B9" s="206"/>
      <c r="C9" s="233">
        <v>1200</v>
      </c>
      <c r="D9" s="297">
        <v>1443</v>
      </c>
      <c r="E9" s="298"/>
      <c r="F9" s="298" t="s">
        <v>209</v>
      </c>
      <c r="G9" s="298"/>
      <c r="H9" s="298"/>
      <c r="I9" s="212">
        <v>2250</v>
      </c>
      <c r="J9" s="212">
        <f>C9+1600</f>
        <v>2800</v>
      </c>
      <c r="K9" s="215">
        <v>2800</v>
      </c>
      <c r="L9" s="298">
        <v>2480</v>
      </c>
      <c r="M9" s="282"/>
      <c r="N9" s="292"/>
      <c r="O9" s="293"/>
      <c r="P9" s="293"/>
      <c r="Q9" s="293"/>
      <c r="R9" s="293"/>
    </row>
    <row r="10" spans="1:18" s="211" customFormat="1" ht="30" customHeight="1">
      <c r="A10" s="283" t="s">
        <v>211</v>
      </c>
      <c r="B10" s="283"/>
      <c r="C10" s="233">
        <f>12500+238</f>
        <v>12738</v>
      </c>
      <c r="D10" s="297">
        <v>14295</v>
      </c>
      <c r="E10" s="298"/>
      <c r="F10" s="298">
        <v>11299</v>
      </c>
      <c r="G10" s="298"/>
      <c r="H10" s="298"/>
      <c r="I10" s="212">
        <v>14800</v>
      </c>
      <c r="J10" s="212">
        <f>C10+4800</f>
        <v>17538</v>
      </c>
      <c r="K10" s="215">
        <v>17300</v>
      </c>
      <c r="L10" s="298">
        <v>16540</v>
      </c>
      <c r="M10" s="282"/>
      <c r="N10" s="292"/>
      <c r="O10" s="293"/>
      <c r="P10" s="293"/>
      <c r="Q10" s="293"/>
      <c r="R10" s="293"/>
    </row>
    <row r="11" spans="1:18" s="211" customFormat="1" ht="30" customHeight="1">
      <c r="A11" s="289" t="s">
        <v>252</v>
      </c>
      <c r="B11" s="289"/>
      <c r="C11" s="232">
        <v>13938</v>
      </c>
      <c r="D11" s="296">
        <v>17499</v>
      </c>
      <c r="E11" s="290"/>
      <c r="F11" s="290">
        <v>12984</v>
      </c>
      <c r="G11" s="290"/>
      <c r="H11" s="290"/>
      <c r="I11" s="207">
        <v>17050</v>
      </c>
      <c r="J11" s="207">
        <f>C11+4800+1600</f>
        <v>20338</v>
      </c>
      <c r="K11" s="214" t="e">
        <f>#REF!+K10+K9</f>
        <v>#REF!</v>
      </c>
      <c r="L11" s="290">
        <v>19020</v>
      </c>
      <c r="M11" s="290"/>
      <c r="N11" s="292"/>
      <c r="O11" s="293"/>
      <c r="P11" s="293"/>
      <c r="Q11" s="293"/>
      <c r="R11" s="293"/>
    </row>
    <row r="12" spans="1:18" s="211" customFormat="1" ht="30" customHeight="1">
      <c r="A12" s="289" t="s">
        <v>257</v>
      </c>
      <c r="B12" s="289"/>
      <c r="C12" s="232">
        <v>2300</v>
      </c>
      <c r="D12" s="296">
        <v>19358</v>
      </c>
      <c r="E12" s="290"/>
      <c r="F12" s="290">
        <v>15308</v>
      </c>
      <c r="G12" s="290"/>
      <c r="H12" s="290"/>
      <c r="I12" s="207">
        <v>2300</v>
      </c>
      <c r="J12" s="207">
        <f>C12+1600</f>
        <v>3900</v>
      </c>
      <c r="K12" s="214">
        <v>3900</v>
      </c>
      <c r="L12" s="290">
        <v>3580</v>
      </c>
      <c r="M12" s="291"/>
      <c r="N12" s="292"/>
      <c r="O12" s="293"/>
      <c r="P12" s="293"/>
      <c r="Q12" s="293"/>
      <c r="R12" s="293"/>
    </row>
    <row r="13" spans="1:18" s="211" customFormat="1" ht="30" customHeight="1">
      <c r="A13" s="289" t="s">
        <v>497</v>
      </c>
      <c r="B13" s="289"/>
      <c r="C13" s="232" t="s">
        <v>179</v>
      </c>
      <c r="D13" s="296" t="s">
        <v>135</v>
      </c>
      <c r="E13" s="290"/>
      <c r="F13" s="290" t="s">
        <v>302</v>
      </c>
      <c r="G13" s="290"/>
      <c r="H13" s="290"/>
      <c r="I13" s="207" t="s">
        <v>303</v>
      </c>
      <c r="J13" s="207" t="str">
        <f>I13</f>
        <v>335</v>
      </c>
      <c r="K13" s="207" t="e">
        <f>#REF!</f>
        <v>#REF!</v>
      </c>
      <c r="L13" s="291">
        <v>335</v>
      </c>
      <c r="M13" s="291"/>
      <c r="N13" s="292"/>
      <c r="O13" s="293"/>
      <c r="P13" s="293"/>
      <c r="Q13" s="293"/>
      <c r="R13" s="293"/>
    </row>
    <row r="14" spans="1:21" s="211" customFormat="1" ht="30" customHeight="1">
      <c r="A14" s="289" t="s">
        <v>304</v>
      </c>
      <c r="B14" s="289"/>
      <c r="C14" s="234">
        <v>47083</v>
      </c>
      <c r="D14" s="294">
        <v>93219</v>
      </c>
      <c r="E14" s="295"/>
      <c r="F14" s="295">
        <v>78374</v>
      </c>
      <c r="G14" s="295"/>
      <c r="H14" s="295"/>
      <c r="I14" s="180">
        <v>67037</v>
      </c>
      <c r="J14" s="180">
        <f>J13+J12+J11+J8+J7+J3</f>
        <v>83818</v>
      </c>
      <c r="K14" s="180" t="e">
        <f>#REF!+K12+K11+K3+K8+K7</f>
        <v>#REF!</v>
      </c>
      <c r="L14" s="290">
        <f>L13+L12+L11+L8+L7+L3</f>
        <v>76480</v>
      </c>
      <c r="M14" s="291"/>
      <c r="N14" s="292"/>
      <c r="O14" s="293"/>
      <c r="P14" s="293"/>
      <c r="Q14" s="293"/>
      <c r="R14" s="293"/>
      <c r="U14" s="216"/>
    </row>
  </sheetData>
  <sheetProtection/>
  <mergeCells count="68">
    <mergeCell ref="L2:M2"/>
    <mergeCell ref="N2:R2"/>
    <mergeCell ref="A2:B2"/>
    <mergeCell ref="D2:E2"/>
    <mergeCell ref="F2:H2"/>
    <mergeCell ref="L1:M1"/>
    <mergeCell ref="N1:R1"/>
    <mergeCell ref="D1:E1"/>
    <mergeCell ref="F1:H1"/>
    <mergeCell ref="A4:B4"/>
    <mergeCell ref="N4:R4"/>
    <mergeCell ref="L3:M3"/>
    <mergeCell ref="N3:R3"/>
    <mergeCell ref="A3:B3"/>
    <mergeCell ref="D3:E3"/>
    <mergeCell ref="F3:H3"/>
    <mergeCell ref="D4:E4"/>
    <mergeCell ref="F4:H4"/>
    <mergeCell ref="L4:M4"/>
    <mergeCell ref="N6:R6"/>
    <mergeCell ref="N5:R5"/>
    <mergeCell ref="D8:E8"/>
    <mergeCell ref="F8:H8"/>
    <mergeCell ref="D7:E7"/>
    <mergeCell ref="N8:R8"/>
    <mergeCell ref="L7:M7"/>
    <mergeCell ref="F7:H7"/>
    <mergeCell ref="A5:B5"/>
    <mergeCell ref="D5:E5"/>
    <mergeCell ref="N7:R7"/>
    <mergeCell ref="D6:E6"/>
    <mergeCell ref="F6:H6"/>
    <mergeCell ref="A6:B6"/>
    <mergeCell ref="L6:M6"/>
    <mergeCell ref="F5:H5"/>
    <mergeCell ref="A7:B7"/>
    <mergeCell ref="L5:M5"/>
    <mergeCell ref="A8:B8"/>
    <mergeCell ref="L10:M10"/>
    <mergeCell ref="A10:B10"/>
    <mergeCell ref="L8:M8"/>
    <mergeCell ref="D9:E9"/>
    <mergeCell ref="F9:H9"/>
    <mergeCell ref="L9:M9"/>
    <mergeCell ref="N9:R9"/>
    <mergeCell ref="D10:E10"/>
    <mergeCell ref="F10:H10"/>
    <mergeCell ref="N11:R11"/>
    <mergeCell ref="N10:R10"/>
    <mergeCell ref="A11:B11"/>
    <mergeCell ref="D11:E11"/>
    <mergeCell ref="F11:H11"/>
    <mergeCell ref="L11:M11"/>
    <mergeCell ref="L12:M12"/>
    <mergeCell ref="N12:R12"/>
    <mergeCell ref="A12:B12"/>
    <mergeCell ref="D12:E12"/>
    <mergeCell ref="F12:H12"/>
    <mergeCell ref="A13:B13"/>
    <mergeCell ref="L14:M14"/>
    <mergeCell ref="N14:R14"/>
    <mergeCell ref="A14:B14"/>
    <mergeCell ref="D14:E14"/>
    <mergeCell ref="F14:H14"/>
    <mergeCell ref="D13:E13"/>
    <mergeCell ref="F13:H13"/>
    <mergeCell ref="L13:M13"/>
    <mergeCell ref="N13:R13"/>
  </mergeCells>
  <printOptions/>
  <pageMargins left="1.44" right="0.16" top="1.67" bottom="1" header="0.89" footer="0.4921259845"/>
  <pageSetup firstPageNumber="5" useFirstPageNumber="1" horizontalDpi="600" verticalDpi="600" orientation="portrait" paperSize="9" scale="69" r:id="rId1"/>
  <headerFooter alignWithMargins="0">
    <oddHeader>&amp;L&amp;"Arial,Tučné"v tis. Kč&amp;C&amp;"Arial,Tučné"&amp;12Schválený  rozpočet  rok 2013 - neinvestiční příspěvky a granty&amp;RPříloha č. 4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408"/>
  <sheetViews>
    <sheetView workbookViewId="0" topLeftCell="A1">
      <pane xSplit="4" ySplit="1" topLeftCell="E38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A401" sqref="AA401"/>
    </sheetView>
  </sheetViews>
  <sheetFormatPr defaultColWidth="9.140625" defaultRowHeight="12.75" outlineLevelRow="1"/>
  <cols>
    <col min="4" max="4" width="27.8515625" style="0" customWidth="1"/>
    <col min="5" max="5" width="11.140625" style="129" hidden="1" customWidth="1"/>
    <col min="6" max="6" width="9.140625" style="129" hidden="1" customWidth="1"/>
    <col min="7" max="7" width="10.8515625" style="129" hidden="1" customWidth="1"/>
    <col min="8" max="8" width="0.13671875" style="129" hidden="1" customWidth="1"/>
    <col min="9" max="9" width="10.8515625" style="129" hidden="1" customWidth="1"/>
    <col min="10" max="10" width="0.9921875" style="129" hidden="1" customWidth="1"/>
    <col min="11" max="11" width="0.13671875" style="129" hidden="1" customWidth="1"/>
    <col min="12" max="13" width="12.00390625" style="129" hidden="1" customWidth="1"/>
    <col min="14" max="14" width="11.00390625" style="129" hidden="1" customWidth="1"/>
    <col min="15" max="15" width="10.7109375" style="129" customWidth="1"/>
    <col min="16" max="16" width="9.140625" style="0" hidden="1" customWidth="1"/>
    <col min="21" max="21" width="18.8515625" style="0" customWidth="1"/>
    <col min="22" max="22" width="9.140625" style="0" hidden="1" customWidth="1"/>
  </cols>
  <sheetData>
    <row r="1" spans="1:21" ht="57" customHeight="1" thickBot="1">
      <c r="A1" s="245" t="s">
        <v>181</v>
      </c>
      <c r="B1" s="280" t="s">
        <v>182</v>
      </c>
      <c r="C1" s="280"/>
      <c r="D1" s="280"/>
      <c r="E1" s="312" t="s">
        <v>207</v>
      </c>
      <c r="F1" s="312"/>
      <c r="G1" s="312" t="s">
        <v>350</v>
      </c>
      <c r="H1" s="312"/>
      <c r="I1" s="312" t="s">
        <v>161</v>
      </c>
      <c r="J1" s="312"/>
      <c r="K1" s="312"/>
      <c r="L1" s="242" t="s">
        <v>351</v>
      </c>
      <c r="M1" s="242" t="s">
        <v>238</v>
      </c>
      <c r="N1" s="242" t="s">
        <v>392</v>
      </c>
      <c r="O1" s="280" t="s">
        <v>460</v>
      </c>
      <c r="P1" s="280"/>
      <c r="Q1" s="266" t="s">
        <v>384</v>
      </c>
      <c r="R1" s="266"/>
      <c r="S1" s="266"/>
      <c r="T1" s="266"/>
      <c r="U1" s="266"/>
    </row>
    <row r="2" spans="1:21" ht="18.75" customHeight="1">
      <c r="A2" s="313"/>
      <c r="B2" s="313"/>
      <c r="C2" s="246"/>
      <c r="D2" s="246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6"/>
      <c r="Q2" s="246"/>
      <c r="R2" s="246"/>
      <c r="S2" s="246"/>
      <c r="T2" s="246"/>
      <c r="U2" s="246"/>
    </row>
    <row r="3" spans="1:21" s="248" customFormat="1" ht="19.5" customHeight="1" hidden="1">
      <c r="A3" s="314" t="s">
        <v>164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</row>
    <row r="4" spans="1:21" s="248" customFormat="1" ht="19.5" customHeight="1" hidden="1">
      <c r="A4" s="315" t="s">
        <v>190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</row>
    <row r="5" spans="1:21" s="248" customFormat="1" ht="27" customHeight="1" hidden="1">
      <c r="A5" s="243" t="s">
        <v>180</v>
      </c>
      <c r="B5" s="275" t="s">
        <v>36</v>
      </c>
      <c r="C5" s="275"/>
      <c r="D5" s="275"/>
      <c r="E5" s="273" t="s">
        <v>179</v>
      </c>
      <c r="F5" s="273"/>
      <c r="G5" s="273" t="s">
        <v>662</v>
      </c>
      <c r="H5" s="273"/>
      <c r="I5" s="273" t="s">
        <v>663</v>
      </c>
      <c r="J5" s="273"/>
      <c r="K5" s="273"/>
      <c r="L5" s="249" t="s">
        <v>179</v>
      </c>
      <c r="M5" s="249"/>
      <c r="N5" s="249"/>
      <c r="O5" s="275" t="s">
        <v>180</v>
      </c>
      <c r="P5" s="275"/>
      <c r="Q5" s="274" t="s">
        <v>664</v>
      </c>
      <c r="R5" s="274"/>
      <c r="S5" s="274"/>
      <c r="T5" s="274"/>
      <c r="U5" s="274"/>
    </row>
    <row r="6" spans="1:21" s="248" customFormat="1" ht="19.5" customHeight="1" hidden="1">
      <c r="A6" s="316" t="s">
        <v>192</v>
      </c>
      <c r="B6" s="316"/>
      <c r="C6" s="316"/>
      <c r="D6" s="316"/>
      <c r="E6" s="273" t="s">
        <v>179</v>
      </c>
      <c r="F6" s="273"/>
      <c r="G6" s="273" t="s">
        <v>662</v>
      </c>
      <c r="H6" s="273"/>
      <c r="I6" s="273" t="s">
        <v>663</v>
      </c>
      <c r="J6" s="273"/>
      <c r="K6" s="273"/>
      <c r="L6" s="249" t="s">
        <v>179</v>
      </c>
      <c r="M6" s="249"/>
      <c r="N6" s="249"/>
      <c r="O6" s="275" t="s">
        <v>180</v>
      </c>
      <c r="P6" s="275"/>
      <c r="Q6" s="274" t="s">
        <v>180</v>
      </c>
      <c r="R6" s="274"/>
      <c r="S6" s="274"/>
      <c r="T6" s="274"/>
      <c r="U6" s="274"/>
    </row>
    <row r="7" spans="1:21" s="248" customFormat="1" ht="19.5" customHeight="1" hidden="1">
      <c r="A7" s="317" t="s">
        <v>80</v>
      </c>
      <c r="B7" s="317"/>
      <c r="C7" s="317"/>
      <c r="D7" s="317"/>
      <c r="E7" s="311" t="s">
        <v>179</v>
      </c>
      <c r="F7" s="311"/>
      <c r="G7" s="311" t="s">
        <v>662</v>
      </c>
      <c r="H7" s="311"/>
      <c r="I7" s="311" t="s">
        <v>663</v>
      </c>
      <c r="J7" s="311"/>
      <c r="K7" s="311"/>
      <c r="L7" s="244" t="s">
        <v>179</v>
      </c>
      <c r="M7" s="244" t="str">
        <f>L7</f>
        <v>0</v>
      </c>
      <c r="N7" s="244"/>
      <c r="O7" s="276" t="s">
        <v>180</v>
      </c>
      <c r="P7" s="276"/>
      <c r="Q7" s="277" t="s">
        <v>180</v>
      </c>
      <c r="R7" s="277"/>
      <c r="S7" s="277"/>
      <c r="T7" s="277"/>
      <c r="U7" s="277"/>
    </row>
    <row r="8" spans="1:21" s="248" customFormat="1" ht="19.5" customHeight="1">
      <c r="A8" s="314" t="s">
        <v>32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  <c r="R8" s="314"/>
      <c r="S8" s="314"/>
      <c r="T8" s="314"/>
      <c r="U8" s="314"/>
    </row>
    <row r="9" spans="1:21" s="248" customFormat="1" ht="19.5" customHeight="1">
      <c r="A9" s="315" t="s">
        <v>272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</row>
    <row r="10" spans="1:21" s="248" customFormat="1" ht="24.75" customHeight="1">
      <c r="A10" s="243" t="s">
        <v>180</v>
      </c>
      <c r="B10" s="275" t="s">
        <v>665</v>
      </c>
      <c r="C10" s="275"/>
      <c r="D10" s="275"/>
      <c r="E10" s="273" t="s">
        <v>352</v>
      </c>
      <c r="F10" s="273"/>
      <c r="G10" s="273" t="s">
        <v>278</v>
      </c>
      <c r="H10" s="273"/>
      <c r="I10" s="273" t="s">
        <v>179</v>
      </c>
      <c r="J10" s="273"/>
      <c r="K10" s="273"/>
      <c r="L10" s="249" t="s">
        <v>352</v>
      </c>
      <c r="M10" s="249"/>
      <c r="N10" s="249"/>
      <c r="O10" s="267">
        <f>L10+N10</f>
        <v>200</v>
      </c>
      <c r="P10" s="267"/>
      <c r="Q10" s="274" t="s">
        <v>666</v>
      </c>
      <c r="R10" s="274"/>
      <c r="S10" s="274"/>
      <c r="T10" s="274"/>
      <c r="U10" s="274"/>
    </row>
    <row r="11" spans="1:21" s="248" customFormat="1" ht="24.75" customHeight="1">
      <c r="A11" s="243" t="s">
        <v>180</v>
      </c>
      <c r="B11" s="275" t="s">
        <v>667</v>
      </c>
      <c r="C11" s="275"/>
      <c r="D11" s="275"/>
      <c r="E11" s="273" t="s">
        <v>30</v>
      </c>
      <c r="F11" s="273"/>
      <c r="G11" s="273" t="s">
        <v>278</v>
      </c>
      <c r="H11" s="273"/>
      <c r="I11" s="273" t="s">
        <v>179</v>
      </c>
      <c r="J11" s="273"/>
      <c r="K11" s="273"/>
      <c r="L11" s="249" t="s">
        <v>30</v>
      </c>
      <c r="M11" s="249"/>
      <c r="N11" s="249"/>
      <c r="O11" s="267">
        <f>L11+N11</f>
        <v>100</v>
      </c>
      <c r="P11" s="267"/>
      <c r="Q11" s="274" t="s">
        <v>668</v>
      </c>
      <c r="R11" s="274"/>
      <c r="S11" s="274"/>
      <c r="T11" s="274"/>
      <c r="U11" s="274"/>
    </row>
    <row r="12" spans="1:21" s="248" customFormat="1" ht="24.75" customHeight="1">
      <c r="A12" s="243" t="s">
        <v>180</v>
      </c>
      <c r="B12" s="275" t="s">
        <v>669</v>
      </c>
      <c r="C12" s="275"/>
      <c r="D12" s="275"/>
      <c r="E12" s="273" t="s">
        <v>187</v>
      </c>
      <c r="F12" s="273"/>
      <c r="G12" s="273" t="s">
        <v>670</v>
      </c>
      <c r="H12" s="273"/>
      <c r="I12" s="273" t="s">
        <v>179</v>
      </c>
      <c r="J12" s="273"/>
      <c r="K12" s="273"/>
      <c r="L12" s="249" t="s">
        <v>187</v>
      </c>
      <c r="M12" s="249"/>
      <c r="N12" s="249"/>
      <c r="O12" s="267">
        <f>L12+N12</f>
        <v>400</v>
      </c>
      <c r="P12" s="267"/>
      <c r="Q12" s="274" t="s">
        <v>668</v>
      </c>
      <c r="R12" s="274"/>
      <c r="S12" s="274"/>
      <c r="T12" s="274"/>
      <c r="U12" s="274"/>
    </row>
    <row r="13" spans="1:21" s="248" customFormat="1" ht="24.75" customHeight="1">
      <c r="A13" s="243" t="s">
        <v>180</v>
      </c>
      <c r="B13" s="275" t="s">
        <v>671</v>
      </c>
      <c r="C13" s="275"/>
      <c r="D13" s="275"/>
      <c r="E13" s="273" t="s">
        <v>260</v>
      </c>
      <c r="F13" s="273"/>
      <c r="G13" s="273" t="s">
        <v>672</v>
      </c>
      <c r="H13" s="273"/>
      <c r="I13" s="273" t="s">
        <v>179</v>
      </c>
      <c r="J13" s="273"/>
      <c r="K13" s="273"/>
      <c r="L13" s="249" t="s">
        <v>260</v>
      </c>
      <c r="M13" s="249"/>
      <c r="N13" s="249"/>
      <c r="O13" s="267">
        <f>L13+N13</f>
        <v>50</v>
      </c>
      <c r="P13" s="267"/>
      <c r="Q13" s="274" t="s">
        <v>668</v>
      </c>
      <c r="R13" s="274"/>
      <c r="S13" s="274"/>
      <c r="T13" s="274"/>
      <c r="U13" s="274"/>
    </row>
    <row r="14" spans="1:21" s="248" customFormat="1" ht="19.5" customHeight="1">
      <c r="A14" s="317" t="s">
        <v>127</v>
      </c>
      <c r="B14" s="317"/>
      <c r="C14" s="317"/>
      <c r="D14" s="317"/>
      <c r="E14" s="319" t="s">
        <v>543</v>
      </c>
      <c r="F14" s="319"/>
      <c r="G14" s="311" t="s">
        <v>543</v>
      </c>
      <c r="H14" s="311"/>
      <c r="I14" s="311" t="s">
        <v>179</v>
      </c>
      <c r="J14" s="311"/>
      <c r="K14" s="311"/>
      <c r="L14" s="244" t="s">
        <v>543</v>
      </c>
      <c r="M14" s="244" t="str">
        <f>L14</f>
        <v>750</v>
      </c>
      <c r="N14" s="250">
        <v>750</v>
      </c>
      <c r="O14" s="318">
        <v>750</v>
      </c>
      <c r="P14" s="318"/>
      <c r="Q14" s="277" t="s">
        <v>180</v>
      </c>
      <c r="R14" s="277"/>
      <c r="S14" s="277"/>
      <c r="T14" s="277"/>
      <c r="U14" s="277"/>
    </row>
    <row r="15" spans="1:21" s="248" customFormat="1" ht="19.5" customHeight="1" hidden="1">
      <c r="A15" s="314" t="s">
        <v>673</v>
      </c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</row>
    <row r="16" spans="1:21" s="248" customFormat="1" ht="19.5" customHeight="1" hidden="1">
      <c r="A16" s="315" t="s">
        <v>643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</row>
    <row r="17" spans="1:21" s="248" customFormat="1" ht="25.5" customHeight="1" hidden="1">
      <c r="A17" s="243" t="s">
        <v>180</v>
      </c>
      <c r="B17" s="275" t="s">
        <v>674</v>
      </c>
      <c r="C17" s="275"/>
      <c r="D17" s="275"/>
      <c r="E17" s="273" t="s">
        <v>179</v>
      </c>
      <c r="F17" s="273"/>
      <c r="G17" s="273" t="s">
        <v>675</v>
      </c>
      <c r="H17" s="273"/>
      <c r="I17" s="273" t="s">
        <v>675</v>
      </c>
      <c r="J17" s="273"/>
      <c r="K17" s="273"/>
      <c r="L17" s="249" t="s">
        <v>179</v>
      </c>
      <c r="M17" s="249"/>
      <c r="N17" s="249"/>
      <c r="O17" s="275" t="s">
        <v>180</v>
      </c>
      <c r="P17" s="275"/>
      <c r="Q17" s="274" t="s">
        <v>676</v>
      </c>
      <c r="R17" s="274"/>
      <c r="S17" s="274"/>
      <c r="T17" s="274"/>
      <c r="U17" s="274"/>
    </row>
    <row r="18" spans="1:21" s="248" customFormat="1" ht="19.5" customHeight="1" hidden="1">
      <c r="A18" s="315" t="s">
        <v>190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</row>
    <row r="19" spans="1:21" s="248" customFormat="1" ht="39" customHeight="1" hidden="1">
      <c r="A19" s="243" t="s">
        <v>180</v>
      </c>
      <c r="B19" s="275" t="s">
        <v>665</v>
      </c>
      <c r="C19" s="275"/>
      <c r="D19" s="275"/>
      <c r="E19" s="273" t="s">
        <v>179</v>
      </c>
      <c r="F19" s="273"/>
      <c r="G19" s="273" t="s">
        <v>260</v>
      </c>
      <c r="H19" s="273"/>
      <c r="I19" s="273" t="s">
        <v>260</v>
      </c>
      <c r="J19" s="273"/>
      <c r="K19" s="273"/>
      <c r="L19" s="249" t="s">
        <v>179</v>
      </c>
      <c r="M19" s="249"/>
      <c r="N19" s="249"/>
      <c r="O19" s="275" t="s">
        <v>180</v>
      </c>
      <c r="P19" s="275"/>
      <c r="Q19" s="274" t="s">
        <v>677</v>
      </c>
      <c r="R19" s="274"/>
      <c r="S19" s="274"/>
      <c r="T19" s="274"/>
      <c r="U19" s="274"/>
    </row>
    <row r="20" spans="1:21" s="248" customFormat="1" ht="19.5" customHeight="1" hidden="1">
      <c r="A20" s="317" t="s">
        <v>678</v>
      </c>
      <c r="B20" s="317"/>
      <c r="C20" s="317"/>
      <c r="D20" s="317"/>
      <c r="E20" s="311" t="s">
        <v>179</v>
      </c>
      <c r="F20" s="311"/>
      <c r="G20" s="311" t="s">
        <v>679</v>
      </c>
      <c r="H20" s="311"/>
      <c r="I20" s="311" t="s">
        <v>679</v>
      </c>
      <c r="J20" s="311"/>
      <c r="K20" s="311"/>
      <c r="L20" s="244" t="s">
        <v>179</v>
      </c>
      <c r="M20" s="244" t="str">
        <f>L20</f>
        <v>0</v>
      </c>
      <c r="N20" s="244"/>
      <c r="O20" s="276" t="s">
        <v>180</v>
      </c>
      <c r="P20" s="276"/>
      <c r="Q20" s="277" t="s">
        <v>180</v>
      </c>
      <c r="R20" s="277"/>
      <c r="S20" s="277"/>
      <c r="T20" s="277"/>
      <c r="U20" s="277"/>
    </row>
    <row r="21" spans="1:21" s="248" customFormat="1" ht="19.5" customHeight="1">
      <c r="A21" s="314" t="s">
        <v>129</v>
      </c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</row>
    <row r="22" spans="1:21" s="248" customFormat="1" ht="19.5" customHeight="1">
      <c r="A22" s="315" t="s">
        <v>544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</row>
    <row r="23" spans="1:21" s="248" customFormat="1" ht="19.5" customHeight="1">
      <c r="A23" s="243" t="s">
        <v>180</v>
      </c>
      <c r="B23" s="275" t="s">
        <v>680</v>
      </c>
      <c r="C23" s="275"/>
      <c r="D23" s="275"/>
      <c r="E23" s="273">
        <v>1000</v>
      </c>
      <c r="F23" s="273"/>
      <c r="G23" s="273">
        <v>1000</v>
      </c>
      <c r="H23" s="273"/>
      <c r="I23" s="273">
        <v>1000</v>
      </c>
      <c r="J23" s="273"/>
      <c r="K23" s="273"/>
      <c r="L23" s="249">
        <v>1000</v>
      </c>
      <c r="M23" s="249">
        <f aca="true" t="shared" si="0" ref="M23:M41">L23</f>
        <v>1000</v>
      </c>
      <c r="N23" s="249"/>
      <c r="O23" s="273">
        <v>1150</v>
      </c>
      <c r="P23" s="273"/>
      <c r="Q23" s="274" t="s">
        <v>681</v>
      </c>
      <c r="R23" s="274"/>
      <c r="S23" s="274"/>
      <c r="T23" s="274"/>
      <c r="U23" s="274"/>
    </row>
    <row r="24" spans="1:21" s="248" customFormat="1" ht="28.5" customHeight="1">
      <c r="A24" s="243" t="s">
        <v>180</v>
      </c>
      <c r="B24" s="275" t="s">
        <v>667</v>
      </c>
      <c r="C24" s="275"/>
      <c r="D24" s="275"/>
      <c r="E24" s="273" t="s">
        <v>179</v>
      </c>
      <c r="F24" s="273"/>
      <c r="G24" s="273" t="s">
        <v>682</v>
      </c>
      <c r="H24" s="273"/>
      <c r="I24" s="273" t="s">
        <v>682</v>
      </c>
      <c r="J24" s="273"/>
      <c r="K24" s="273"/>
      <c r="L24" s="249" t="s">
        <v>179</v>
      </c>
      <c r="M24" s="249" t="str">
        <f t="shared" si="0"/>
        <v>0</v>
      </c>
      <c r="N24" s="249"/>
      <c r="O24" s="278">
        <v>650</v>
      </c>
      <c r="P24" s="279"/>
      <c r="Q24" s="274" t="s">
        <v>683</v>
      </c>
      <c r="R24" s="274"/>
      <c r="S24" s="274"/>
      <c r="T24" s="274"/>
      <c r="U24" s="274"/>
    </row>
    <row r="25" spans="1:21" s="248" customFormat="1" ht="28.5" customHeight="1">
      <c r="A25" s="243" t="s">
        <v>180</v>
      </c>
      <c r="B25" s="275" t="s">
        <v>680</v>
      </c>
      <c r="C25" s="275"/>
      <c r="D25" s="275"/>
      <c r="E25" s="273" t="s">
        <v>684</v>
      </c>
      <c r="F25" s="273"/>
      <c r="G25" s="273" t="s">
        <v>685</v>
      </c>
      <c r="H25" s="273"/>
      <c r="I25" s="273" t="s">
        <v>685</v>
      </c>
      <c r="J25" s="273"/>
      <c r="K25" s="273"/>
      <c r="L25" s="249" t="s">
        <v>684</v>
      </c>
      <c r="M25" s="249" t="str">
        <f t="shared" si="0"/>
        <v>600</v>
      </c>
      <c r="N25" s="249"/>
      <c r="O25" s="273">
        <v>1000</v>
      </c>
      <c r="P25" s="273"/>
      <c r="Q25" s="274" t="s">
        <v>686</v>
      </c>
      <c r="R25" s="274"/>
      <c r="S25" s="274"/>
      <c r="T25" s="274"/>
      <c r="U25" s="274"/>
    </row>
    <row r="26" spans="1:21" s="248" customFormat="1" ht="28.5" customHeight="1">
      <c r="A26" s="243" t="s">
        <v>180</v>
      </c>
      <c r="B26" s="275" t="s">
        <v>687</v>
      </c>
      <c r="C26" s="275"/>
      <c r="D26" s="275"/>
      <c r="E26" s="273" t="s">
        <v>282</v>
      </c>
      <c r="F26" s="273"/>
      <c r="G26" s="273" t="s">
        <v>282</v>
      </c>
      <c r="H26" s="273"/>
      <c r="I26" s="273" t="s">
        <v>282</v>
      </c>
      <c r="J26" s="273"/>
      <c r="K26" s="273"/>
      <c r="L26" s="249" t="s">
        <v>282</v>
      </c>
      <c r="M26" s="249" t="str">
        <f t="shared" si="0"/>
        <v>500</v>
      </c>
      <c r="N26" s="249"/>
      <c r="O26" s="273">
        <v>675</v>
      </c>
      <c r="P26" s="273"/>
      <c r="Q26" s="274" t="s">
        <v>688</v>
      </c>
      <c r="R26" s="274"/>
      <c r="S26" s="274"/>
      <c r="T26" s="274"/>
      <c r="U26" s="274"/>
    </row>
    <row r="27" spans="1:21" s="248" customFormat="1" ht="28.5" customHeight="1">
      <c r="A27" s="243" t="s">
        <v>180</v>
      </c>
      <c r="B27" s="275" t="s">
        <v>680</v>
      </c>
      <c r="C27" s="275"/>
      <c r="D27" s="275"/>
      <c r="E27" s="273" t="s">
        <v>274</v>
      </c>
      <c r="F27" s="273"/>
      <c r="G27" s="273" t="s">
        <v>274</v>
      </c>
      <c r="H27" s="273"/>
      <c r="I27" s="273" t="s">
        <v>274</v>
      </c>
      <c r="J27" s="273"/>
      <c r="K27" s="273"/>
      <c r="L27" s="249" t="s">
        <v>274</v>
      </c>
      <c r="M27" s="249" t="str">
        <f t="shared" si="0"/>
        <v>450</v>
      </c>
      <c r="N27" s="249"/>
      <c r="O27" s="273">
        <v>500</v>
      </c>
      <c r="P27" s="273"/>
      <c r="Q27" s="274" t="s">
        <v>689</v>
      </c>
      <c r="R27" s="274"/>
      <c r="S27" s="274"/>
      <c r="T27" s="274"/>
      <c r="U27" s="274"/>
    </row>
    <row r="28" spans="1:21" s="248" customFormat="1" ht="28.5" customHeight="1">
      <c r="A28" s="243" t="s">
        <v>180</v>
      </c>
      <c r="B28" s="275" t="s">
        <v>667</v>
      </c>
      <c r="C28" s="275"/>
      <c r="D28" s="275"/>
      <c r="E28" s="273">
        <v>270</v>
      </c>
      <c r="F28" s="273"/>
      <c r="G28" s="273" t="s">
        <v>682</v>
      </c>
      <c r="H28" s="273"/>
      <c r="I28" s="273" t="s">
        <v>682</v>
      </c>
      <c r="J28" s="273"/>
      <c r="K28" s="273"/>
      <c r="L28" s="249" t="s">
        <v>179</v>
      </c>
      <c r="M28" s="249" t="str">
        <f t="shared" si="0"/>
        <v>0</v>
      </c>
      <c r="N28" s="249"/>
      <c r="O28" s="278">
        <v>270</v>
      </c>
      <c r="P28" s="279"/>
      <c r="Q28" s="274" t="s">
        <v>690</v>
      </c>
      <c r="R28" s="274"/>
      <c r="S28" s="274"/>
      <c r="T28" s="274"/>
      <c r="U28" s="274"/>
    </row>
    <row r="29" spans="1:21" s="248" customFormat="1" ht="28.5" customHeight="1">
      <c r="A29" s="243" t="s">
        <v>180</v>
      </c>
      <c r="B29" s="275" t="s">
        <v>665</v>
      </c>
      <c r="C29" s="275"/>
      <c r="D29" s="275"/>
      <c r="E29" s="273">
        <v>250</v>
      </c>
      <c r="F29" s="273"/>
      <c r="G29" s="273" t="s">
        <v>197</v>
      </c>
      <c r="H29" s="273"/>
      <c r="I29" s="273" t="s">
        <v>197</v>
      </c>
      <c r="J29" s="273"/>
      <c r="K29" s="273"/>
      <c r="L29" s="249" t="s">
        <v>197</v>
      </c>
      <c r="M29" s="249" t="str">
        <f t="shared" si="0"/>
        <v>250</v>
      </c>
      <c r="N29" s="249"/>
      <c r="O29" s="273">
        <v>250</v>
      </c>
      <c r="P29" s="273"/>
      <c r="Q29" s="274" t="s">
        <v>691</v>
      </c>
      <c r="R29" s="274"/>
      <c r="S29" s="274"/>
      <c r="T29" s="274"/>
      <c r="U29" s="274"/>
    </row>
    <row r="30" spans="1:21" s="248" customFormat="1" ht="28.5" customHeight="1">
      <c r="A30" s="243" t="s">
        <v>180</v>
      </c>
      <c r="B30" s="275" t="s">
        <v>692</v>
      </c>
      <c r="C30" s="275"/>
      <c r="D30" s="275"/>
      <c r="E30" s="273" t="s">
        <v>197</v>
      </c>
      <c r="F30" s="273"/>
      <c r="G30" s="273" t="s">
        <v>197</v>
      </c>
      <c r="H30" s="273"/>
      <c r="I30" s="273" t="s">
        <v>197</v>
      </c>
      <c r="J30" s="273"/>
      <c r="K30" s="273"/>
      <c r="L30" s="249" t="s">
        <v>197</v>
      </c>
      <c r="M30" s="249" t="str">
        <f t="shared" si="0"/>
        <v>250</v>
      </c>
      <c r="N30" s="249"/>
      <c r="O30" s="273">
        <v>250</v>
      </c>
      <c r="P30" s="273"/>
      <c r="Q30" s="274" t="s">
        <v>693</v>
      </c>
      <c r="R30" s="274"/>
      <c r="S30" s="274"/>
      <c r="T30" s="274"/>
      <c r="U30" s="274"/>
    </row>
    <row r="31" spans="1:21" s="248" customFormat="1" ht="28.5" customHeight="1">
      <c r="A31" s="243" t="s">
        <v>180</v>
      </c>
      <c r="B31" s="275" t="s">
        <v>694</v>
      </c>
      <c r="C31" s="275"/>
      <c r="D31" s="275"/>
      <c r="E31" s="273" t="s">
        <v>197</v>
      </c>
      <c r="F31" s="273"/>
      <c r="G31" s="273" t="s">
        <v>197</v>
      </c>
      <c r="H31" s="273"/>
      <c r="I31" s="273" t="s">
        <v>197</v>
      </c>
      <c r="J31" s="273"/>
      <c r="K31" s="273"/>
      <c r="L31" s="249" t="s">
        <v>197</v>
      </c>
      <c r="M31" s="249" t="str">
        <f t="shared" si="0"/>
        <v>250</v>
      </c>
      <c r="N31" s="249"/>
      <c r="O31" s="273">
        <v>350</v>
      </c>
      <c r="P31" s="273"/>
      <c r="Q31" s="274" t="s">
        <v>695</v>
      </c>
      <c r="R31" s="274"/>
      <c r="S31" s="274"/>
      <c r="T31" s="274"/>
      <c r="U31" s="274"/>
    </row>
    <row r="32" spans="1:21" s="248" customFormat="1" ht="28.5" customHeight="1">
      <c r="A32" s="243" t="s">
        <v>180</v>
      </c>
      <c r="B32" s="275" t="s">
        <v>36</v>
      </c>
      <c r="C32" s="275"/>
      <c r="D32" s="275"/>
      <c r="E32" s="273" t="s">
        <v>352</v>
      </c>
      <c r="F32" s="273"/>
      <c r="G32" s="273" t="s">
        <v>352</v>
      </c>
      <c r="H32" s="273"/>
      <c r="I32" s="273" t="s">
        <v>352</v>
      </c>
      <c r="J32" s="273"/>
      <c r="K32" s="273"/>
      <c r="L32" s="249" t="s">
        <v>352</v>
      </c>
      <c r="M32" s="249" t="str">
        <f t="shared" si="0"/>
        <v>200</v>
      </c>
      <c r="N32" s="249"/>
      <c r="O32" s="273">
        <v>200</v>
      </c>
      <c r="P32" s="273"/>
      <c r="Q32" s="274" t="s">
        <v>696</v>
      </c>
      <c r="R32" s="274"/>
      <c r="S32" s="274"/>
      <c r="T32" s="274"/>
      <c r="U32" s="274"/>
    </row>
    <row r="33" spans="1:21" s="248" customFormat="1" ht="28.5" customHeight="1">
      <c r="A33" s="243" t="s">
        <v>180</v>
      </c>
      <c r="B33" s="275" t="s">
        <v>680</v>
      </c>
      <c r="C33" s="275"/>
      <c r="D33" s="275"/>
      <c r="E33" s="273" t="s">
        <v>352</v>
      </c>
      <c r="F33" s="273"/>
      <c r="G33" s="273" t="s">
        <v>352</v>
      </c>
      <c r="H33" s="273"/>
      <c r="I33" s="273" t="s">
        <v>352</v>
      </c>
      <c r="J33" s="273"/>
      <c r="K33" s="273"/>
      <c r="L33" s="249" t="s">
        <v>352</v>
      </c>
      <c r="M33" s="249" t="str">
        <f t="shared" si="0"/>
        <v>200</v>
      </c>
      <c r="N33" s="249"/>
      <c r="O33" s="273">
        <v>300</v>
      </c>
      <c r="P33" s="273"/>
      <c r="Q33" s="274" t="s">
        <v>697</v>
      </c>
      <c r="R33" s="274"/>
      <c r="S33" s="274"/>
      <c r="T33" s="274"/>
      <c r="U33" s="274"/>
    </row>
    <row r="34" spans="1:21" s="248" customFormat="1" ht="28.5" customHeight="1">
      <c r="A34" s="243" t="s">
        <v>180</v>
      </c>
      <c r="B34" s="275" t="s">
        <v>665</v>
      </c>
      <c r="C34" s="275"/>
      <c r="D34" s="275"/>
      <c r="E34" s="273">
        <v>180</v>
      </c>
      <c r="F34" s="273"/>
      <c r="G34" s="273" t="s">
        <v>698</v>
      </c>
      <c r="H34" s="273"/>
      <c r="I34" s="273" t="s">
        <v>179</v>
      </c>
      <c r="J34" s="273"/>
      <c r="K34" s="273"/>
      <c r="L34" s="249" t="s">
        <v>698</v>
      </c>
      <c r="M34" s="249" t="str">
        <f t="shared" si="0"/>
        <v>180</v>
      </c>
      <c r="N34" s="249"/>
      <c r="O34" s="273">
        <v>180</v>
      </c>
      <c r="P34" s="273"/>
      <c r="Q34" s="274" t="s">
        <v>699</v>
      </c>
      <c r="R34" s="274"/>
      <c r="S34" s="274"/>
      <c r="T34" s="274"/>
      <c r="U34" s="274"/>
    </row>
    <row r="35" spans="1:21" s="248" customFormat="1" ht="28.5" customHeight="1">
      <c r="A35" s="243" t="s">
        <v>180</v>
      </c>
      <c r="B35" s="275" t="s">
        <v>694</v>
      </c>
      <c r="C35" s="275"/>
      <c r="D35" s="275"/>
      <c r="E35" s="273">
        <v>150</v>
      </c>
      <c r="F35" s="273"/>
      <c r="G35" s="273" t="s">
        <v>184</v>
      </c>
      <c r="H35" s="273"/>
      <c r="I35" s="273" t="s">
        <v>184</v>
      </c>
      <c r="J35" s="273"/>
      <c r="K35" s="273"/>
      <c r="L35" s="249" t="s">
        <v>184</v>
      </c>
      <c r="M35" s="249" t="str">
        <f t="shared" si="0"/>
        <v>150</v>
      </c>
      <c r="N35" s="249"/>
      <c r="O35" s="273">
        <v>150</v>
      </c>
      <c r="P35" s="273"/>
      <c r="Q35" s="274" t="s">
        <v>700</v>
      </c>
      <c r="R35" s="274"/>
      <c r="S35" s="274"/>
      <c r="T35" s="274"/>
      <c r="U35" s="274"/>
    </row>
    <row r="36" spans="1:21" s="248" customFormat="1" ht="28.5" customHeight="1">
      <c r="A36" s="243" t="s">
        <v>180</v>
      </c>
      <c r="B36" s="275" t="s">
        <v>680</v>
      </c>
      <c r="C36" s="275"/>
      <c r="D36" s="275"/>
      <c r="E36" s="273" t="s">
        <v>18</v>
      </c>
      <c r="F36" s="273"/>
      <c r="G36" s="273" t="s">
        <v>18</v>
      </c>
      <c r="H36" s="273"/>
      <c r="I36" s="273" t="s">
        <v>18</v>
      </c>
      <c r="J36" s="273"/>
      <c r="K36" s="273"/>
      <c r="L36" s="249" t="s">
        <v>18</v>
      </c>
      <c r="M36" s="249" t="str">
        <f t="shared" si="0"/>
        <v>25</v>
      </c>
      <c r="N36" s="249"/>
      <c r="O36" s="273">
        <v>25</v>
      </c>
      <c r="P36" s="273"/>
      <c r="Q36" s="274" t="s">
        <v>701</v>
      </c>
      <c r="R36" s="274"/>
      <c r="S36" s="274"/>
      <c r="T36" s="274"/>
      <c r="U36" s="274"/>
    </row>
    <row r="37" spans="1:21" s="248" customFormat="1" ht="24.75" customHeight="1">
      <c r="A37" s="243" t="s">
        <v>180</v>
      </c>
      <c r="B37" s="275" t="s">
        <v>680</v>
      </c>
      <c r="C37" s="275"/>
      <c r="D37" s="275"/>
      <c r="E37" s="273" t="s">
        <v>179</v>
      </c>
      <c r="F37" s="273"/>
      <c r="G37" s="273" t="s">
        <v>277</v>
      </c>
      <c r="H37" s="273"/>
      <c r="I37" s="273" t="s">
        <v>277</v>
      </c>
      <c r="J37" s="273"/>
      <c r="K37" s="273"/>
      <c r="L37" s="249" t="s">
        <v>179</v>
      </c>
      <c r="M37" s="249" t="str">
        <f t="shared" si="0"/>
        <v>0</v>
      </c>
      <c r="N37" s="249"/>
      <c r="O37" s="273">
        <v>250</v>
      </c>
      <c r="P37" s="273"/>
      <c r="Q37" s="274" t="s">
        <v>702</v>
      </c>
      <c r="R37" s="274"/>
      <c r="S37" s="274"/>
      <c r="T37" s="274"/>
      <c r="U37" s="274"/>
    </row>
    <row r="38" spans="1:21" s="248" customFormat="1" ht="24.75" customHeight="1">
      <c r="A38" s="243"/>
      <c r="B38" s="275" t="s">
        <v>680</v>
      </c>
      <c r="C38" s="275"/>
      <c r="D38" s="275"/>
      <c r="E38" s="273" t="s">
        <v>179</v>
      </c>
      <c r="F38" s="273"/>
      <c r="G38" s="273" t="s">
        <v>277</v>
      </c>
      <c r="H38" s="273"/>
      <c r="I38" s="273" t="s">
        <v>277</v>
      </c>
      <c r="J38" s="273"/>
      <c r="K38" s="273"/>
      <c r="L38" s="249" t="s">
        <v>179</v>
      </c>
      <c r="M38" s="249" t="str">
        <f t="shared" si="0"/>
        <v>0</v>
      </c>
      <c r="N38" s="249"/>
      <c r="O38" s="273">
        <v>200</v>
      </c>
      <c r="P38" s="273"/>
      <c r="Q38" s="274" t="s">
        <v>703</v>
      </c>
      <c r="R38" s="274"/>
      <c r="S38" s="274"/>
      <c r="T38" s="274"/>
      <c r="U38" s="274"/>
    </row>
    <row r="39" spans="1:21" s="248" customFormat="1" ht="24.75" customHeight="1">
      <c r="A39" s="243"/>
      <c r="B39" s="275" t="s">
        <v>680</v>
      </c>
      <c r="C39" s="275"/>
      <c r="D39" s="275"/>
      <c r="E39" s="273" t="s">
        <v>179</v>
      </c>
      <c r="F39" s="273"/>
      <c r="G39" s="273" t="s">
        <v>277</v>
      </c>
      <c r="H39" s="273"/>
      <c r="I39" s="273" t="s">
        <v>277</v>
      </c>
      <c r="J39" s="273"/>
      <c r="K39" s="273"/>
      <c r="L39" s="249" t="s">
        <v>179</v>
      </c>
      <c r="M39" s="249" t="str">
        <f t="shared" si="0"/>
        <v>0</v>
      </c>
      <c r="N39" s="249"/>
      <c r="O39" s="273">
        <v>200</v>
      </c>
      <c r="P39" s="273"/>
      <c r="Q39" s="274" t="s">
        <v>704</v>
      </c>
      <c r="R39" s="274"/>
      <c r="S39" s="274"/>
      <c r="T39" s="274"/>
      <c r="U39" s="274"/>
    </row>
    <row r="40" spans="1:21" s="248" customFormat="1" ht="24.75" customHeight="1">
      <c r="A40" s="243" t="s">
        <v>180</v>
      </c>
      <c r="B40" s="275" t="s">
        <v>667</v>
      </c>
      <c r="C40" s="275"/>
      <c r="D40" s="275"/>
      <c r="E40" s="273" t="s">
        <v>179</v>
      </c>
      <c r="F40" s="273"/>
      <c r="G40" s="273" t="s">
        <v>705</v>
      </c>
      <c r="H40" s="273"/>
      <c r="I40" s="273" t="s">
        <v>705</v>
      </c>
      <c r="J40" s="273"/>
      <c r="K40" s="273"/>
      <c r="L40" s="249" t="s">
        <v>179</v>
      </c>
      <c r="M40" s="249" t="str">
        <f t="shared" si="0"/>
        <v>0</v>
      </c>
      <c r="N40" s="249"/>
      <c r="O40" s="273">
        <v>250</v>
      </c>
      <c r="P40" s="273"/>
      <c r="Q40" s="274" t="s">
        <v>706</v>
      </c>
      <c r="R40" s="274"/>
      <c r="S40" s="274"/>
      <c r="T40" s="274"/>
      <c r="U40" s="274"/>
    </row>
    <row r="41" spans="1:21" s="248" customFormat="1" ht="24.75" customHeight="1">
      <c r="A41" s="243"/>
      <c r="B41" s="275" t="s">
        <v>680</v>
      </c>
      <c r="C41" s="275"/>
      <c r="D41" s="275"/>
      <c r="E41" s="273" t="s">
        <v>179</v>
      </c>
      <c r="F41" s="273"/>
      <c r="G41" s="273" t="s">
        <v>277</v>
      </c>
      <c r="H41" s="273"/>
      <c r="I41" s="273" t="s">
        <v>277</v>
      </c>
      <c r="J41" s="273"/>
      <c r="K41" s="273"/>
      <c r="L41" s="249" t="s">
        <v>179</v>
      </c>
      <c r="M41" s="249" t="str">
        <f t="shared" si="0"/>
        <v>0</v>
      </c>
      <c r="N41" s="249"/>
      <c r="O41" s="273">
        <v>150</v>
      </c>
      <c r="P41" s="273"/>
      <c r="Q41" s="274" t="s">
        <v>707</v>
      </c>
      <c r="R41" s="274"/>
      <c r="S41" s="274"/>
      <c r="T41" s="274"/>
      <c r="U41" s="274"/>
    </row>
    <row r="42" spans="1:21" s="248" customFormat="1" ht="24.75" customHeight="1">
      <c r="A42" s="243" t="s">
        <v>180</v>
      </c>
      <c r="B42" s="322" t="s">
        <v>34</v>
      </c>
      <c r="C42" s="323"/>
      <c r="D42" s="324"/>
      <c r="E42" s="320">
        <v>3500</v>
      </c>
      <c r="F42" s="321"/>
      <c r="G42" s="320" t="s">
        <v>179</v>
      </c>
      <c r="H42" s="321"/>
      <c r="I42" s="320" t="s">
        <v>179</v>
      </c>
      <c r="J42" s="326"/>
      <c r="K42" s="321"/>
      <c r="L42" s="249">
        <v>7537</v>
      </c>
      <c r="M42" s="249">
        <v>4000</v>
      </c>
      <c r="N42" s="249"/>
      <c r="O42" s="320">
        <v>4725</v>
      </c>
      <c r="P42" s="321"/>
      <c r="Q42" s="322" t="s">
        <v>708</v>
      </c>
      <c r="R42" s="323"/>
      <c r="S42" s="323"/>
      <c r="T42" s="323"/>
      <c r="U42" s="340"/>
    </row>
    <row r="43" spans="1:23" s="248" customFormat="1" ht="19.5" customHeight="1">
      <c r="A43" s="316" t="s">
        <v>283</v>
      </c>
      <c r="B43" s="316"/>
      <c r="C43" s="316"/>
      <c r="D43" s="316"/>
      <c r="E43" s="325">
        <v>8525</v>
      </c>
      <c r="F43" s="325"/>
      <c r="G43" s="325">
        <v>5325</v>
      </c>
      <c r="H43" s="325"/>
      <c r="I43" s="325">
        <v>5145</v>
      </c>
      <c r="J43" s="325"/>
      <c r="K43" s="325"/>
      <c r="L43" s="251">
        <v>12562</v>
      </c>
      <c r="M43" s="251" t="e">
        <f>M42+#REF!+#REF!+#REF!+#REF!+#REF!+#REF!+#REF!+#REF!+#REF!+#REF!+#REF!+#REF!+M40+#REF!+#REF!+#REF!+#REF!+#REF!+#REF!</f>
        <v>#REF!</v>
      </c>
      <c r="N43" s="251">
        <v>12525</v>
      </c>
      <c r="O43" s="327">
        <f>SUM(O23:P42)</f>
        <v>11725</v>
      </c>
      <c r="P43" s="327"/>
      <c r="Q43" s="274"/>
      <c r="R43" s="274"/>
      <c r="S43" s="274"/>
      <c r="T43" s="274"/>
      <c r="U43" s="274"/>
      <c r="V43" s="252"/>
      <c r="W43" s="253"/>
    </row>
    <row r="44" spans="1:21" s="248" customFormat="1" ht="19.5" customHeight="1">
      <c r="A44" s="315" t="s">
        <v>95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</row>
    <row r="45" spans="1:21" s="248" customFormat="1" ht="24.75" customHeight="1" hidden="1" outlineLevel="1">
      <c r="A45" s="243" t="s">
        <v>180</v>
      </c>
      <c r="B45" s="275" t="s">
        <v>665</v>
      </c>
      <c r="C45" s="275"/>
      <c r="D45" s="275"/>
      <c r="E45" s="273" t="s">
        <v>179</v>
      </c>
      <c r="F45" s="273"/>
      <c r="G45" s="273" t="s">
        <v>709</v>
      </c>
      <c r="H45" s="273"/>
      <c r="I45" s="273" t="s">
        <v>710</v>
      </c>
      <c r="J45" s="273"/>
      <c r="K45" s="273"/>
      <c r="L45" s="249" t="s">
        <v>179</v>
      </c>
      <c r="M45" s="249"/>
      <c r="N45" s="249"/>
      <c r="O45" s="273"/>
      <c r="P45" s="273"/>
      <c r="Q45" s="274" t="s">
        <v>711</v>
      </c>
      <c r="R45" s="274"/>
      <c r="S45" s="274"/>
      <c r="T45" s="274"/>
      <c r="U45" s="274"/>
    </row>
    <row r="46" spans="1:21" s="248" customFormat="1" ht="24.75" customHeight="1" hidden="1" outlineLevel="1">
      <c r="A46" s="243" t="s">
        <v>180</v>
      </c>
      <c r="B46" s="275" t="s">
        <v>680</v>
      </c>
      <c r="C46" s="275"/>
      <c r="D46" s="275"/>
      <c r="E46" s="273" t="s">
        <v>179</v>
      </c>
      <c r="F46" s="273"/>
      <c r="G46" s="273" t="s">
        <v>712</v>
      </c>
      <c r="H46" s="273"/>
      <c r="I46" s="273" t="s">
        <v>705</v>
      </c>
      <c r="J46" s="273"/>
      <c r="K46" s="273"/>
      <c r="L46" s="249" t="s">
        <v>179</v>
      </c>
      <c r="M46" s="249"/>
      <c r="N46" s="249"/>
      <c r="O46" s="273"/>
      <c r="P46" s="273"/>
      <c r="Q46" s="274" t="s">
        <v>713</v>
      </c>
      <c r="R46" s="274"/>
      <c r="S46" s="274"/>
      <c r="T46" s="274"/>
      <c r="U46" s="274"/>
    </row>
    <row r="47" spans="1:21" s="248" customFormat="1" ht="24.75" customHeight="1" hidden="1" outlineLevel="1">
      <c r="A47" s="243" t="s">
        <v>180</v>
      </c>
      <c r="B47" s="275" t="s">
        <v>680</v>
      </c>
      <c r="C47" s="275"/>
      <c r="D47" s="275"/>
      <c r="E47" s="273" t="s">
        <v>179</v>
      </c>
      <c r="F47" s="273"/>
      <c r="G47" s="273" t="s">
        <v>18</v>
      </c>
      <c r="H47" s="273"/>
      <c r="I47" s="273" t="s">
        <v>179</v>
      </c>
      <c r="J47" s="273"/>
      <c r="K47" s="273"/>
      <c r="L47" s="249" t="s">
        <v>179</v>
      </c>
      <c r="M47" s="249"/>
      <c r="N47" s="249"/>
      <c r="O47" s="273"/>
      <c r="P47" s="273"/>
      <c r="Q47" s="274" t="s">
        <v>714</v>
      </c>
      <c r="R47" s="274"/>
      <c r="S47" s="274"/>
      <c r="T47" s="274"/>
      <c r="U47" s="274"/>
    </row>
    <row r="48" spans="1:21" s="248" customFormat="1" ht="24.75" customHeight="1" hidden="1" outlineLevel="1">
      <c r="A48" s="243" t="s">
        <v>180</v>
      </c>
      <c r="B48" s="275" t="s">
        <v>680</v>
      </c>
      <c r="C48" s="275"/>
      <c r="D48" s="275"/>
      <c r="E48" s="273" t="s">
        <v>179</v>
      </c>
      <c r="F48" s="273"/>
      <c r="G48" s="273" t="s">
        <v>715</v>
      </c>
      <c r="H48" s="273"/>
      <c r="I48" s="273" t="s">
        <v>715</v>
      </c>
      <c r="J48" s="273"/>
      <c r="K48" s="273"/>
      <c r="L48" s="249" t="s">
        <v>179</v>
      </c>
      <c r="M48" s="249"/>
      <c r="N48" s="249"/>
      <c r="O48" s="273"/>
      <c r="P48" s="273"/>
      <c r="Q48" s="274" t="s">
        <v>716</v>
      </c>
      <c r="R48" s="274"/>
      <c r="S48" s="274"/>
      <c r="T48" s="274"/>
      <c r="U48" s="274"/>
    </row>
    <row r="49" spans="1:21" s="248" customFormat="1" ht="24.75" customHeight="1" hidden="1" outlineLevel="1">
      <c r="A49" s="243" t="s">
        <v>180</v>
      </c>
      <c r="B49" s="275" t="s">
        <v>680</v>
      </c>
      <c r="C49" s="275"/>
      <c r="D49" s="275"/>
      <c r="E49" s="273" t="s">
        <v>179</v>
      </c>
      <c r="F49" s="273"/>
      <c r="G49" s="273" t="s">
        <v>495</v>
      </c>
      <c r="H49" s="273"/>
      <c r="I49" s="273" t="s">
        <v>495</v>
      </c>
      <c r="J49" s="273"/>
      <c r="K49" s="273"/>
      <c r="L49" s="249" t="s">
        <v>179</v>
      </c>
      <c r="M49" s="249"/>
      <c r="N49" s="249"/>
      <c r="O49" s="273"/>
      <c r="P49" s="273"/>
      <c r="Q49" s="274" t="s">
        <v>717</v>
      </c>
      <c r="R49" s="274"/>
      <c r="S49" s="274"/>
      <c r="T49" s="274"/>
      <c r="U49" s="274"/>
    </row>
    <row r="50" spans="1:21" s="248" customFormat="1" ht="24.75" customHeight="1" hidden="1" outlineLevel="1">
      <c r="A50" s="243" t="s">
        <v>180</v>
      </c>
      <c r="B50" s="275" t="s">
        <v>680</v>
      </c>
      <c r="C50" s="275"/>
      <c r="D50" s="275"/>
      <c r="E50" s="273" t="s">
        <v>179</v>
      </c>
      <c r="F50" s="273"/>
      <c r="G50" s="273" t="s">
        <v>718</v>
      </c>
      <c r="H50" s="273"/>
      <c r="I50" s="273" t="s">
        <v>718</v>
      </c>
      <c r="J50" s="273"/>
      <c r="K50" s="273"/>
      <c r="L50" s="249" t="s">
        <v>179</v>
      </c>
      <c r="M50" s="249"/>
      <c r="N50" s="249"/>
      <c r="O50" s="273"/>
      <c r="P50" s="273"/>
      <c r="Q50" s="274" t="s">
        <v>719</v>
      </c>
      <c r="R50" s="274"/>
      <c r="S50" s="274"/>
      <c r="T50" s="274"/>
      <c r="U50" s="274"/>
    </row>
    <row r="51" spans="1:21" s="248" customFormat="1" ht="24.75" customHeight="1" hidden="1" outlineLevel="1">
      <c r="A51" s="243" t="s">
        <v>180</v>
      </c>
      <c r="B51" s="275" t="s">
        <v>680</v>
      </c>
      <c r="C51" s="275"/>
      <c r="D51" s="275"/>
      <c r="E51" s="273" t="s">
        <v>179</v>
      </c>
      <c r="F51" s="273"/>
      <c r="G51" s="273" t="s">
        <v>720</v>
      </c>
      <c r="H51" s="273"/>
      <c r="I51" s="273" t="s">
        <v>720</v>
      </c>
      <c r="J51" s="273"/>
      <c r="K51" s="273"/>
      <c r="L51" s="249" t="s">
        <v>179</v>
      </c>
      <c r="M51" s="249"/>
      <c r="N51" s="249"/>
      <c r="O51" s="273"/>
      <c r="P51" s="273"/>
      <c r="Q51" s="274" t="s">
        <v>721</v>
      </c>
      <c r="R51" s="274"/>
      <c r="S51" s="274"/>
      <c r="T51" s="274"/>
      <c r="U51" s="274"/>
    </row>
    <row r="52" spans="1:21" s="248" customFormat="1" ht="24.75" customHeight="1" hidden="1" outlineLevel="1">
      <c r="A52" s="243" t="s">
        <v>180</v>
      </c>
      <c r="B52" s="275" t="s">
        <v>680</v>
      </c>
      <c r="C52" s="275"/>
      <c r="D52" s="275"/>
      <c r="E52" s="273" t="s">
        <v>179</v>
      </c>
      <c r="F52" s="273"/>
      <c r="G52" s="273" t="s">
        <v>722</v>
      </c>
      <c r="H52" s="273"/>
      <c r="I52" s="273" t="s">
        <v>709</v>
      </c>
      <c r="J52" s="273"/>
      <c r="K52" s="273"/>
      <c r="L52" s="249" t="s">
        <v>179</v>
      </c>
      <c r="M52" s="249"/>
      <c r="N52" s="249"/>
      <c r="O52" s="273"/>
      <c r="P52" s="273"/>
      <c r="Q52" s="274" t="s">
        <v>723</v>
      </c>
      <c r="R52" s="274"/>
      <c r="S52" s="274"/>
      <c r="T52" s="274"/>
      <c r="U52" s="274"/>
    </row>
    <row r="53" spans="1:21" s="248" customFormat="1" ht="24.75" customHeight="1" hidden="1" outlineLevel="1">
      <c r="A53" s="243" t="s">
        <v>180</v>
      </c>
      <c r="B53" s="275" t="s">
        <v>680</v>
      </c>
      <c r="C53" s="275"/>
      <c r="D53" s="275"/>
      <c r="E53" s="273" t="s">
        <v>179</v>
      </c>
      <c r="F53" s="273"/>
      <c r="G53" s="273" t="s">
        <v>724</v>
      </c>
      <c r="H53" s="273"/>
      <c r="I53" s="273" t="s">
        <v>725</v>
      </c>
      <c r="J53" s="273"/>
      <c r="K53" s="273"/>
      <c r="L53" s="249" t="s">
        <v>179</v>
      </c>
      <c r="M53" s="249"/>
      <c r="N53" s="249"/>
      <c r="O53" s="273"/>
      <c r="P53" s="273"/>
      <c r="Q53" s="274" t="s">
        <v>726</v>
      </c>
      <c r="R53" s="274"/>
      <c r="S53" s="274"/>
      <c r="T53" s="274"/>
      <c r="U53" s="274"/>
    </row>
    <row r="54" spans="1:21" s="248" customFormat="1" ht="24.75" customHeight="1" hidden="1" outlineLevel="1">
      <c r="A54" s="243" t="s">
        <v>180</v>
      </c>
      <c r="B54" s="275" t="s">
        <v>680</v>
      </c>
      <c r="C54" s="275"/>
      <c r="D54" s="275"/>
      <c r="E54" s="273" t="s">
        <v>179</v>
      </c>
      <c r="F54" s="273"/>
      <c r="G54" s="273" t="s">
        <v>725</v>
      </c>
      <c r="H54" s="273"/>
      <c r="I54" s="273" t="s">
        <v>725</v>
      </c>
      <c r="J54" s="273"/>
      <c r="K54" s="273"/>
      <c r="L54" s="249" t="s">
        <v>179</v>
      </c>
      <c r="M54" s="249"/>
      <c r="N54" s="249"/>
      <c r="O54" s="273"/>
      <c r="P54" s="273"/>
      <c r="Q54" s="274" t="s">
        <v>727</v>
      </c>
      <c r="R54" s="274"/>
      <c r="S54" s="274"/>
      <c r="T54" s="274"/>
      <c r="U54" s="274"/>
    </row>
    <row r="55" spans="1:21" s="248" customFormat="1" ht="24.75" customHeight="1" hidden="1" outlineLevel="1">
      <c r="A55" s="243" t="s">
        <v>180</v>
      </c>
      <c r="B55" s="275" t="s">
        <v>680</v>
      </c>
      <c r="C55" s="275"/>
      <c r="D55" s="275"/>
      <c r="E55" s="273" t="s">
        <v>179</v>
      </c>
      <c r="F55" s="273"/>
      <c r="G55" s="273" t="s">
        <v>725</v>
      </c>
      <c r="H55" s="273"/>
      <c r="I55" s="273" t="s">
        <v>725</v>
      </c>
      <c r="J55" s="273"/>
      <c r="K55" s="273"/>
      <c r="L55" s="249" t="s">
        <v>179</v>
      </c>
      <c r="M55" s="249"/>
      <c r="N55" s="249"/>
      <c r="O55" s="273"/>
      <c r="P55" s="273"/>
      <c r="Q55" s="274" t="s">
        <v>728</v>
      </c>
      <c r="R55" s="274"/>
      <c r="S55" s="274"/>
      <c r="T55" s="274"/>
      <c r="U55" s="274"/>
    </row>
    <row r="56" spans="1:21" s="248" customFormat="1" ht="24.75" customHeight="1" hidden="1" outlineLevel="1">
      <c r="A56" s="243" t="s">
        <v>180</v>
      </c>
      <c r="B56" s="275" t="s">
        <v>680</v>
      </c>
      <c r="C56" s="275"/>
      <c r="D56" s="275"/>
      <c r="E56" s="273" t="s">
        <v>179</v>
      </c>
      <c r="F56" s="273"/>
      <c r="G56" s="273" t="s">
        <v>722</v>
      </c>
      <c r="H56" s="273"/>
      <c r="I56" s="273" t="s">
        <v>722</v>
      </c>
      <c r="J56" s="273"/>
      <c r="K56" s="273"/>
      <c r="L56" s="249" t="s">
        <v>179</v>
      </c>
      <c r="M56" s="249"/>
      <c r="N56" s="249"/>
      <c r="O56" s="273"/>
      <c r="P56" s="273"/>
      <c r="Q56" s="274" t="s">
        <v>729</v>
      </c>
      <c r="R56" s="274"/>
      <c r="S56" s="274"/>
      <c r="T56" s="274"/>
      <c r="U56" s="274"/>
    </row>
    <row r="57" spans="1:21" s="248" customFormat="1" ht="24.75" customHeight="1" hidden="1" outlineLevel="1">
      <c r="A57" s="243" t="s">
        <v>180</v>
      </c>
      <c r="B57" s="275" t="s">
        <v>680</v>
      </c>
      <c r="C57" s="275"/>
      <c r="D57" s="275"/>
      <c r="E57" s="273" t="s">
        <v>179</v>
      </c>
      <c r="F57" s="273"/>
      <c r="G57" s="273" t="s">
        <v>730</v>
      </c>
      <c r="H57" s="273"/>
      <c r="I57" s="273" t="s">
        <v>730</v>
      </c>
      <c r="J57" s="273"/>
      <c r="K57" s="273"/>
      <c r="L57" s="249" t="s">
        <v>179</v>
      </c>
      <c r="M57" s="249"/>
      <c r="N57" s="249"/>
      <c r="O57" s="273"/>
      <c r="P57" s="273"/>
      <c r="Q57" s="274" t="s">
        <v>731</v>
      </c>
      <c r="R57" s="274"/>
      <c r="S57" s="274"/>
      <c r="T57" s="274"/>
      <c r="U57" s="274"/>
    </row>
    <row r="58" spans="1:21" s="248" customFormat="1" ht="24.75" customHeight="1" hidden="1" outlineLevel="1">
      <c r="A58" s="243" t="s">
        <v>180</v>
      </c>
      <c r="B58" s="275" t="s">
        <v>680</v>
      </c>
      <c r="C58" s="275"/>
      <c r="D58" s="275"/>
      <c r="E58" s="273" t="s">
        <v>179</v>
      </c>
      <c r="F58" s="273"/>
      <c r="G58" s="273" t="s">
        <v>732</v>
      </c>
      <c r="H58" s="273"/>
      <c r="I58" s="273" t="s">
        <v>732</v>
      </c>
      <c r="J58" s="273"/>
      <c r="K58" s="273"/>
      <c r="L58" s="249" t="s">
        <v>179</v>
      </c>
      <c r="M58" s="249"/>
      <c r="N58" s="249"/>
      <c r="O58" s="273"/>
      <c r="P58" s="273"/>
      <c r="Q58" s="274" t="s">
        <v>733</v>
      </c>
      <c r="R58" s="274"/>
      <c r="S58" s="274"/>
      <c r="T58" s="274"/>
      <c r="U58" s="274"/>
    </row>
    <row r="59" spans="1:21" s="248" customFormat="1" ht="24.75" customHeight="1" hidden="1" outlineLevel="1">
      <c r="A59" s="243" t="s">
        <v>180</v>
      </c>
      <c r="B59" s="275" t="s">
        <v>680</v>
      </c>
      <c r="C59" s="275"/>
      <c r="D59" s="275"/>
      <c r="E59" s="273" t="s">
        <v>179</v>
      </c>
      <c r="F59" s="273"/>
      <c r="G59" s="273" t="s">
        <v>734</v>
      </c>
      <c r="H59" s="273"/>
      <c r="I59" s="273" t="s">
        <v>734</v>
      </c>
      <c r="J59" s="273"/>
      <c r="K59" s="273"/>
      <c r="L59" s="249" t="s">
        <v>179</v>
      </c>
      <c r="M59" s="249"/>
      <c r="N59" s="249"/>
      <c r="O59" s="273"/>
      <c r="P59" s="273"/>
      <c r="Q59" s="274" t="s">
        <v>735</v>
      </c>
      <c r="R59" s="274"/>
      <c r="S59" s="274"/>
      <c r="T59" s="274"/>
      <c r="U59" s="274"/>
    </row>
    <row r="60" spans="1:21" s="248" customFormat="1" ht="24.75" customHeight="1" hidden="1" outlineLevel="1">
      <c r="A60" s="243" t="s">
        <v>180</v>
      </c>
      <c r="B60" s="275" t="s">
        <v>680</v>
      </c>
      <c r="C60" s="275"/>
      <c r="D60" s="275"/>
      <c r="E60" s="273" t="s">
        <v>179</v>
      </c>
      <c r="F60" s="273"/>
      <c r="G60" s="273" t="s">
        <v>184</v>
      </c>
      <c r="H60" s="273"/>
      <c r="I60" s="273" t="s">
        <v>184</v>
      </c>
      <c r="J60" s="273"/>
      <c r="K60" s="273"/>
      <c r="L60" s="249" t="s">
        <v>179</v>
      </c>
      <c r="M60" s="249"/>
      <c r="N60" s="249"/>
      <c r="O60" s="273"/>
      <c r="P60" s="273"/>
      <c r="Q60" s="274" t="s">
        <v>736</v>
      </c>
      <c r="R60" s="274"/>
      <c r="S60" s="274"/>
      <c r="T60" s="274"/>
      <c r="U60" s="274"/>
    </row>
    <row r="61" spans="1:21" s="248" customFormat="1" ht="24.75" customHeight="1" hidden="1" outlineLevel="1">
      <c r="A61" s="243" t="s">
        <v>180</v>
      </c>
      <c r="B61" s="275" t="s">
        <v>680</v>
      </c>
      <c r="C61" s="275"/>
      <c r="D61" s="275"/>
      <c r="E61" s="273" t="s">
        <v>179</v>
      </c>
      <c r="F61" s="273"/>
      <c r="G61" s="273" t="s">
        <v>737</v>
      </c>
      <c r="H61" s="273"/>
      <c r="I61" s="273" t="s">
        <v>737</v>
      </c>
      <c r="J61" s="273"/>
      <c r="K61" s="273"/>
      <c r="L61" s="249" t="s">
        <v>179</v>
      </c>
      <c r="M61" s="249"/>
      <c r="N61" s="249"/>
      <c r="O61" s="273"/>
      <c r="P61" s="273"/>
      <c r="Q61" s="274" t="s">
        <v>738</v>
      </c>
      <c r="R61" s="274"/>
      <c r="S61" s="274"/>
      <c r="T61" s="274"/>
      <c r="U61" s="274"/>
    </row>
    <row r="62" spans="1:21" s="248" customFormat="1" ht="24.75" customHeight="1" hidden="1" outlineLevel="1">
      <c r="A62" s="243" t="s">
        <v>180</v>
      </c>
      <c r="B62" s="275" t="s">
        <v>680</v>
      </c>
      <c r="C62" s="275"/>
      <c r="D62" s="275"/>
      <c r="E62" s="273" t="s">
        <v>179</v>
      </c>
      <c r="F62" s="273"/>
      <c r="G62" s="273" t="s">
        <v>167</v>
      </c>
      <c r="H62" s="273"/>
      <c r="I62" s="273" t="s">
        <v>167</v>
      </c>
      <c r="J62" s="273"/>
      <c r="K62" s="273"/>
      <c r="L62" s="249" t="s">
        <v>179</v>
      </c>
      <c r="M62" s="249"/>
      <c r="N62" s="249"/>
      <c r="O62" s="273"/>
      <c r="P62" s="273"/>
      <c r="Q62" s="274" t="s">
        <v>739</v>
      </c>
      <c r="R62" s="274"/>
      <c r="S62" s="274"/>
      <c r="T62" s="274"/>
      <c r="U62" s="274"/>
    </row>
    <row r="63" spans="1:21" s="248" customFormat="1" ht="24.75" customHeight="1" hidden="1" outlineLevel="1">
      <c r="A63" s="243" t="s">
        <v>180</v>
      </c>
      <c r="B63" s="275" t="s">
        <v>680</v>
      </c>
      <c r="C63" s="275"/>
      <c r="D63" s="275"/>
      <c r="E63" s="273" t="s">
        <v>179</v>
      </c>
      <c r="F63" s="273"/>
      <c r="G63" s="273" t="s">
        <v>740</v>
      </c>
      <c r="H63" s="273"/>
      <c r="I63" s="273" t="s">
        <v>740</v>
      </c>
      <c r="J63" s="273"/>
      <c r="K63" s="273"/>
      <c r="L63" s="249" t="s">
        <v>179</v>
      </c>
      <c r="M63" s="249"/>
      <c r="N63" s="249"/>
      <c r="O63" s="273"/>
      <c r="P63" s="273"/>
      <c r="Q63" s="274" t="s">
        <v>741</v>
      </c>
      <c r="R63" s="274"/>
      <c r="S63" s="274"/>
      <c r="T63" s="274"/>
      <c r="U63" s="274"/>
    </row>
    <row r="64" spans="1:21" s="248" customFormat="1" ht="24.75" customHeight="1" hidden="1" outlineLevel="1">
      <c r="A64" s="243" t="s">
        <v>180</v>
      </c>
      <c r="B64" s="275" t="s">
        <v>680</v>
      </c>
      <c r="C64" s="275"/>
      <c r="D64" s="275"/>
      <c r="E64" s="273" t="s">
        <v>179</v>
      </c>
      <c r="F64" s="273"/>
      <c r="G64" s="273" t="s">
        <v>742</v>
      </c>
      <c r="H64" s="273"/>
      <c r="I64" s="273" t="s">
        <v>742</v>
      </c>
      <c r="J64" s="273"/>
      <c r="K64" s="273"/>
      <c r="L64" s="249" t="s">
        <v>179</v>
      </c>
      <c r="M64" s="249"/>
      <c r="N64" s="249"/>
      <c r="O64" s="273"/>
      <c r="P64" s="273"/>
      <c r="Q64" s="274" t="s">
        <v>743</v>
      </c>
      <c r="R64" s="274"/>
      <c r="S64" s="274"/>
      <c r="T64" s="274"/>
      <c r="U64" s="274"/>
    </row>
    <row r="65" spans="1:21" s="248" customFormat="1" ht="24.75" customHeight="1" hidden="1" outlineLevel="1">
      <c r="A65" s="243" t="s">
        <v>180</v>
      </c>
      <c r="B65" s="275" t="s">
        <v>680</v>
      </c>
      <c r="C65" s="275"/>
      <c r="D65" s="275"/>
      <c r="E65" s="273" t="s">
        <v>179</v>
      </c>
      <c r="F65" s="273"/>
      <c r="G65" s="273" t="s">
        <v>744</v>
      </c>
      <c r="H65" s="273"/>
      <c r="I65" s="273" t="s">
        <v>179</v>
      </c>
      <c r="J65" s="273"/>
      <c r="K65" s="273"/>
      <c r="L65" s="249" t="s">
        <v>179</v>
      </c>
      <c r="M65" s="249"/>
      <c r="N65" s="249"/>
      <c r="O65" s="273"/>
      <c r="P65" s="273"/>
      <c r="Q65" s="274" t="s">
        <v>745</v>
      </c>
      <c r="R65" s="274"/>
      <c r="S65" s="274"/>
      <c r="T65" s="274"/>
      <c r="U65" s="274"/>
    </row>
    <row r="66" spans="1:21" s="248" customFormat="1" ht="24.75" customHeight="1" hidden="1" outlineLevel="1">
      <c r="A66" s="243" t="s">
        <v>180</v>
      </c>
      <c r="B66" s="275" t="s">
        <v>680</v>
      </c>
      <c r="C66" s="275"/>
      <c r="D66" s="275"/>
      <c r="E66" s="273" t="s">
        <v>179</v>
      </c>
      <c r="F66" s="273"/>
      <c r="G66" s="273" t="s">
        <v>740</v>
      </c>
      <c r="H66" s="273"/>
      <c r="I66" s="273" t="s">
        <v>740</v>
      </c>
      <c r="J66" s="273"/>
      <c r="K66" s="273"/>
      <c r="L66" s="249" t="s">
        <v>179</v>
      </c>
      <c r="M66" s="249"/>
      <c r="N66" s="249"/>
      <c r="O66" s="273"/>
      <c r="P66" s="273"/>
      <c r="Q66" s="274" t="s">
        <v>746</v>
      </c>
      <c r="R66" s="274"/>
      <c r="S66" s="274"/>
      <c r="T66" s="274"/>
      <c r="U66" s="274"/>
    </row>
    <row r="67" spans="1:21" s="248" customFormat="1" ht="24.75" customHeight="1" hidden="1" outlineLevel="1">
      <c r="A67" s="243" t="s">
        <v>180</v>
      </c>
      <c r="B67" s="275" t="s">
        <v>680</v>
      </c>
      <c r="C67" s="275"/>
      <c r="D67" s="275"/>
      <c r="E67" s="273" t="s">
        <v>179</v>
      </c>
      <c r="F67" s="273"/>
      <c r="G67" s="273" t="s">
        <v>725</v>
      </c>
      <c r="H67" s="273"/>
      <c r="I67" s="273" t="s">
        <v>725</v>
      </c>
      <c r="J67" s="273"/>
      <c r="K67" s="273"/>
      <c r="L67" s="249" t="s">
        <v>179</v>
      </c>
      <c r="M67" s="249"/>
      <c r="N67" s="249"/>
      <c r="O67" s="273"/>
      <c r="P67" s="273"/>
      <c r="Q67" s="274" t="s">
        <v>747</v>
      </c>
      <c r="R67" s="274"/>
      <c r="S67" s="274"/>
      <c r="T67" s="274"/>
      <c r="U67" s="274"/>
    </row>
    <row r="68" spans="1:21" s="248" customFormat="1" ht="24.75" customHeight="1" hidden="1" outlineLevel="1">
      <c r="A68" s="243" t="s">
        <v>180</v>
      </c>
      <c r="B68" s="275" t="s">
        <v>680</v>
      </c>
      <c r="C68" s="275"/>
      <c r="D68" s="275"/>
      <c r="E68" s="273" t="s">
        <v>179</v>
      </c>
      <c r="F68" s="273"/>
      <c r="G68" s="273" t="s">
        <v>734</v>
      </c>
      <c r="H68" s="273"/>
      <c r="I68" s="273" t="s">
        <v>734</v>
      </c>
      <c r="J68" s="273"/>
      <c r="K68" s="273"/>
      <c r="L68" s="249" t="s">
        <v>179</v>
      </c>
      <c r="M68" s="249"/>
      <c r="N68" s="249"/>
      <c r="O68" s="273"/>
      <c r="P68" s="273"/>
      <c r="Q68" s="274" t="s">
        <v>748</v>
      </c>
      <c r="R68" s="274"/>
      <c r="S68" s="274"/>
      <c r="T68" s="274"/>
      <c r="U68" s="274"/>
    </row>
    <row r="69" spans="1:21" s="248" customFormat="1" ht="24.75" customHeight="1" hidden="1" outlineLevel="1">
      <c r="A69" s="243" t="s">
        <v>180</v>
      </c>
      <c r="B69" s="275" t="s">
        <v>680</v>
      </c>
      <c r="C69" s="275"/>
      <c r="D69" s="275"/>
      <c r="E69" s="273" t="s">
        <v>179</v>
      </c>
      <c r="F69" s="273"/>
      <c r="G69" s="273" t="s">
        <v>734</v>
      </c>
      <c r="H69" s="273"/>
      <c r="I69" s="273" t="s">
        <v>734</v>
      </c>
      <c r="J69" s="273"/>
      <c r="K69" s="273"/>
      <c r="L69" s="249" t="s">
        <v>179</v>
      </c>
      <c r="M69" s="249"/>
      <c r="N69" s="249"/>
      <c r="O69" s="273"/>
      <c r="P69" s="273"/>
      <c r="Q69" s="274" t="s">
        <v>749</v>
      </c>
      <c r="R69" s="274"/>
      <c r="S69" s="274"/>
      <c r="T69" s="274"/>
      <c r="U69" s="274"/>
    </row>
    <row r="70" spans="1:21" s="248" customFormat="1" ht="24.75" customHeight="1" hidden="1" outlineLevel="1">
      <c r="A70" s="243" t="s">
        <v>180</v>
      </c>
      <c r="B70" s="275" t="s">
        <v>680</v>
      </c>
      <c r="C70" s="275"/>
      <c r="D70" s="275"/>
      <c r="E70" s="273" t="s">
        <v>179</v>
      </c>
      <c r="F70" s="273"/>
      <c r="G70" s="273" t="s">
        <v>750</v>
      </c>
      <c r="H70" s="273"/>
      <c r="I70" s="273" t="s">
        <v>750</v>
      </c>
      <c r="J70" s="273"/>
      <c r="K70" s="273"/>
      <c r="L70" s="249" t="s">
        <v>179</v>
      </c>
      <c r="M70" s="249"/>
      <c r="N70" s="249"/>
      <c r="O70" s="273"/>
      <c r="P70" s="273"/>
      <c r="Q70" s="274" t="s">
        <v>751</v>
      </c>
      <c r="R70" s="274"/>
      <c r="S70" s="274"/>
      <c r="T70" s="274"/>
      <c r="U70" s="274"/>
    </row>
    <row r="71" spans="1:21" s="248" customFormat="1" ht="24.75" customHeight="1" hidden="1" outlineLevel="1">
      <c r="A71" s="243" t="s">
        <v>180</v>
      </c>
      <c r="B71" s="275" t="s">
        <v>680</v>
      </c>
      <c r="C71" s="275"/>
      <c r="D71" s="275"/>
      <c r="E71" s="273" t="s">
        <v>179</v>
      </c>
      <c r="F71" s="273"/>
      <c r="G71" s="273" t="s">
        <v>30</v>
      </c>
      <c r="H71" s="273"/>
      <c r="I71" s="273" t="s">
        <v>750</v>
      </c>
      <c r="J71" s="273"/>
      <c r="K71" s="273"/>
      <c r="L71" s="249" t="s">
        <v>179</v>
      </c>
      <c r="M71" s="249"/>
      <c r="N71" s="249"/>
      <c r="O71" s="273"/>
      <c r="P71" s="273"/>
      <c r="Q71" s="274" t="s">
        <v>752</v>
      </c>
      <c r="R71" s="274"/>
      <c r="S71" s="274"/>
      <c r="T71" s="274"/>
      <c r="U71" s="274"/>
    </row>
    <row r="72" spans="1:21" s="248" customFormat="1" ht="24.75" customHeight="1" hidden="1" outlineLevel="1">
      <c r="A72" s="243" t="s">
        <v>180</v>
      </c>
      <c r="B72" s="275" t="s">
        <v>680</v>
      </c>
      <c r="C72" s="275"/>
      <c r="D72" s="275"/>
      <c r="E72" s="273" t="s">
        <v>179</v>
      </c>
      <c r="F72" s="273"/>
      <c r="G72" s="273" t="s">
        <v>715</v>
      </c>
      <c r="H72" s="273"/>
      <c r="I72" s="273" t="s">
        <v>672</v>
      </c>
      <c r="J72" s="273"/>
      <c r="K72" s="273"/>
      <c r="L72" s="249" t="s">
        <v>179</v>
      </c>
      <c r="M72" s="249"/>
      <c r="N72" s="249"/>
      <c r="O72" s="273"/>
      <c r="P72" s="273"/>
      <c r="Q72" s="274" t="s">
        <v>753</v>
      </c>
      <c r="R72" s="274"/>
      <c r="S72" s="274"/>
      <c r="T72" s="274"/>
      <c r="U72" s="274"/>
    </row>
    <row r="73" spans="1:21" s="248" customFormat="1" ht="24.75" customHeight="1" hidden="1" outlineLevel="1">
      <c r="A73" s="243" t="s">
        <v>180</v>
      </c>
      <c r="B73" s="275" t="s">
        <v>680</v>
      </c>
      <c r="C73" s="275"/>
      <c r="D73" s="275"/>
      <c r="E73" s="273" t="s">
        <v>179</v>
      </c>
      <c r="F73" s="273"/>
      <c r="G73" s="273" t="s">
        <v>750</v>
      </c>
      <c r="H73" s="273"/>
      <c r="I73" s="273" t="s">
        <v>750</v>
      </c>
      <c r="J73" s="273"/>
      <c r="K73" s="273"/>
      <c r="L73" s="249" t="s">
        <v>179</v>
      </c>
      <c r="M73" s="249"/>
      <c r="N73" s="249"/>
      <c r="O73" s="273"/>
      <c r="P73" s="273"/>
      <c r="Q73" s="274" t="s">
        <v>754</v>
      </c>
      <c r="R73" s="274"/>
      <c r="S73" s="274"/>
      <c r="T73" s="274"/>
      <c r="U73" s="274"/>
    </row>
    <row r="74" spans="1:21" s="248" customFormat="1" ht="24.75" customHeight="1" hidden="1" outlineLevel="1">
      <c r="A74" s="243" t="s">
        <v>180</v>
      </c>
      <c r="B74" s="275" t="s">
        <v>680</v>
      </c>
      <c r="C74" s="275"/>
      <c r="D74" s="275"/>
      <c r="E74" s="273" t="s">
        <v>179</v>
      </c>
      <c r="F74" s="273"/>
      <c r="G74" s="273" t="s">
        <v>750</v>
      </c>
      <c r="H74" s="273"/>
      <c r="I74" s="273" t="s">
        <v>750</v>
      </c>
      <c r="J74" s="273"/>
      <c r="K74" s="273"/>
      <c r="L74" s="249" t="s">
        <v>179</v>
      </c>
      <c r="M74" s="249"/>
      <c r="N74" s="249"/>
      <c r="O74" s="273"/>
      <c r="P74" s="273"/>
      <c r="Q74" s="274" t="s">
        <v>755</v>
      </c>
      <c r="R74" s="274"/>
      <c r="S74" s="274"/>
      <c r="T74" s="274"/>
      <c r="U74" s="274"/>
    </row>
    <row r="75" spans="1:21" s="248" customFormat="1" ht="24.75" customHeight="1" hidden="1" outlineLevel="1">
      <c r="A75" s="243" t="s">
        <v>180</v>
      </c>
      <c r="B75" s="275" t="s">
        <v>680</v>
      </c>
      <c r="C75" s="275"/>
      <c r="D75" s="275"/>
      <c r="E75" s="273" t="s">
        <v>179</v>
      </c>
      <c r="F75" s="273"/>
      <c r="G75" s="273" t="s">
        <v>750</v>
      </c>
      <c r="H75" s="273"/>
      <c r="I75" s="273" t="s">
        <v>710</v>
      </c>
      <c r="J75" s="273"/>
      <c r="K75" s="273"/>
      <c r="L75" s="249" t="s">
        <v>179</v>
      </c>
      <c r="M75" s="249"/>
      <c r="N75" s="249"/>
      <c r="O75" s="273"/>
      <c r="P75" s="273"/>
      <c r="Q75" s="274" t="s">
        <v>756</v>
      </c>
      <c r="R75" s="274"/>
      <c r="S75" s="274"/>
      <c r="T75" s="274"/>
      <c r="U75" s="274"/>
    </row>
    <row r="76" spans="1:21" s="248" customFormat="1" ht="24.75" customHeight="1" hidden="1" outlineLevel="1">
      <c r="A76" s="243" t="s">
        <v>180</v>
      </c>
      <c r="B76" s="275" t="s">
        <v>680</v>
      </c>
      <c r="C76" s="275"/>
      <c r="D76" s="275"/>
      <c r="E76" s="273" t="s">
        <v>179</v>
      </c>
      <c r="F76" s="273"/>
      <c r="G76" s="273" t="s">
        <v>750</v>
      </c>
      <c r="H76" s="273"/>
      <c r="I76" s="273" t="s">
        <v>750</v>
      </c>
      <c r="J76" s="273"/>
      <c r="K76" s="273"/>
      <c r="L76" s="249" t="s">
        <v>179</v>
      </c>
      <c r="M76" s="249"/>
      <c r="N76" s="249"/>
      <c r="O76" s="273"/>
      <c r="P76" s="273"/>
      <c r="Q76" s="274" t="s">
        <v>757</v>
      </c>
      <c r="R76" s="274"/>
      <c r="S76" s="274"/>
      <c r="T76" s="274"/>
      <c r="U76" s="274"/>
    </row>
    <row r="77" spans="1:21" s="248" customFormat="1" ht="24.75" customHeight="1" hidden="1" outlineLevel="1">
      <c r="A77" s="243" t="s">
        <v>180</v>
      </c>
      <c r="B77" s="275" t="s">
        <v>680</v>
      </c>
      <c r="C77" s="275"/>
      <c r="D77" s="275"/>
      <c r="E77" s="273" t="s">
        <v>179</v>
      </c>
      <c r="F77" s="273"/>
      <c r="G77" s="273" t="s">
        <v>712</v>
      </c>
      <c r="H77" s="273"/>
      <c r="I77" s="273" t="s">
        <v>712</v>
      </c>
      <c r="J77" s="273"/>
      <c r="K77" s="273"/>
      <c r="L77" s="249" t="s">
        <v>179</v>
      </c>
      <c r="M77" s="249"/>
      <c r="N77" s="249"/>
      <c r="O77" s="273"/>
      <c r="P77" s="273"/>
      <c r="Q77" s="274" t="s">
        <v>758</v>
      </c>
      <c r="R77" s="274"/>
      <c r="S77" s="274"/>
      <c r="T77" s="274"/>
      <c r="U77" s="274"/>
    </row>
    <row r="78" spans="1:21" s="248" customFormat="1" ht="24.75" customHeight="1" hidden="1" outlineLevel="1">
      <c r="A78" s="243" t="s">
        <v>180</v>
      </c>
      <c r="B78" s="275" t="s">
        <v>687</v>
      </c>
      <c r="C78" s="275"/>
      <c r="D78" s="275"/>
      <c r="E78" s="273" t="s">
        <v>179</v>
      </c>
      <c r="F78" s="273"/>
      <c r="G78" s="273" t="s">
        <v>18</v>
      </c>
      <c r="H78" s="273"/>
      <c r="I78" s="273" t="s">
        <v>18</v>
      </c>
      <c r="J78" s="273"/>
      <c r="K78" s="273"/>
      <c r="L78" s="249" t="s">
        <v>179</v>
      </c>
      <c r="M78" s="249"/>
      <c r="N78" s="249"/>
      <c r="O78" s="273"/>
      <c r="P78" s="273"/>
      <c r="Q78" s="274" t="s">
        <v>759</v>
      </c>
      <c r="R78" s="274"/>
      <c r="S78" s="274"/>
      <c r="T78" s="274"/>
      <c r="U78" s="274"/>
    </row>
    <row r="79" spans="1:21" s="248" customFormat="1" ht="24.75" customHeight="1" hidden="1" outlineLevel="1">
      <c r="A79" s="243" t="s">
        <v>180</v>
      </c>
      <c r="B79" s="275" t="s">
        <v>680</v>
      </c>
      <c r="C79" s="275"/>
      <c r="D79" s="275"/>
      <c r="E79" s="273" t="s">
        <v>179</v>
      </c>
      <c r="F79" s="273"/>
      <c r="G79" s="273" t="s">
        <v>352</v>
      </c>
      <c r="H79" s="273"/>
      <c r="I79" s="273" t="s">
        <v>352</v>
      </c>
      <c r="J79" s="273"/>
      <c r="K79" s="273"/>
      <c r="L79" s="249" t="s">
        <v>179</v>
      </c>
      <c r="M79" s="249"/>
      <c r="N79" s="249"/>
      <c r="O79" s="273"/>
      <c r="P79" s="273"/>
      <c r="Q79" s="274" t="s">
        <v>760</v>
      </c>
      <c r="R79" s="274"/>
      <c r="S79" s="274"/>
      <c r="T79" s="274"/>
      <c r="U79" s="274"/>
    </row>
    <row r="80" spans="1:21" s="248" customFormat="1" ht="24.75" customHeight="1" outlineLevel="1">
      <c r="A80" s="243" t="s">
        <v>180</v>
      </c>
      <c r="B80" s="275" t="s">
        <v>680</v>
      </c>
      <c r="C80" s="275"/>
      <c r="D80" s="275"/>
      <c r="E80" s="273" t="s">
        <v>282</v>
      </c>
      <c r="F80" s="273"/>
      <c r="G80" s="273" t="s">
        <v>543</v>
      </c>
      <c r="H80" s="273"/>
      <c r="I80" s="273" t="s">
        <v>543</v>
      </c>
      <c r="J80" s="273"/>
      <c r="K80" s="273"/>
      <c r="L80" s="249" t="s">
        <v>282</v>
      </c>
      <c r="M80" s="249">
        <f aca="true" t="shared" si="1" ref="M80:M86">E80*1.5</f>
        <v>750</v>
      </c>
      <c r="N80" s="249"/>
      <c r="O80" s="273">
        <v>750</v>
      </c>
      <c r="P80" s="273"/>
      <c r="Q80" s="274" t="s">
        <v>761</v>
      </c>
      <c r="R80" s="274"/>
      <c r="S80" s="274"/>
      <c r="T80" s="274"/>
      <c r="U80" s="274"/>
    </row>
    <row r="81" spans="1:21" s="248" customFormat="1" ht="24.75" customHeight="1" outlineLevel="1">
      <c r="A81" s="243" t="s">
        <v>180</v>
      </c>
      <c r="B81" s="275" t="s">
        <v>667</v>
      </c>
      <c r="C81" s="275"/>
      <c r="D81" s="275"/>
      <c r="E81" s="273">
        <v>2500</v>
      </c>
      <c r="F81" s="273"/>
      <c r="G81" s="273">
        <v>2500</v>
      </c>
      <c r="H81" s="273"/>
      <c r="I81" s="273">
        <v>2500</v>
      </c>
      <c r="J81" s="273"/>
      <c r="K81" s="273"/>
      <c r="L81" s="249">
        <v>2500</v>
      </c>
      <c r="M81" s="249">
        <f t="shared" si="1"/>
        <v>3750</v>
      </c>
      <c r="N81" s="249"/>
      <c r="O81" s="273">
        <v>3750</v>
      </c>
      <c r="P81" s="273"/>
      <c r="Q81" s="274" t="s">
        <v>762</v>
      </c>
      <c r="R81" s="274"/>
      <c r="S81" s="274"/>
      <c r="T81" s="274"/>
      <c r="U81" s="274"/>
    </row>
    <row r="82" spans="1:21" s="248" customFormat="1" ht="24.75" customHeight="1" outlineLevel="1">
      <c r="A82" s="243" t="s">
        <v>180</v>
      </c>
      <c r="B82" s="275" t="s">
        <v>667</v>
      </c>
      <c r="C82" s="275"/>
      <c r="D82" s="275"/>
      <c r="E82" s="273">
        <v>1500</v>
      </c>
      <c r="F82" s="273"/>
      <c r="G82" s="273">
        <v>9600</v>
      </c>
      <c r="H82" s="273"/>
      <c r="I82" s="273">
        <v>9600</v>
      </c>
      <c r="J82" s="273"/>
      <c r="K82" s="273"/>
      <c r="L82" s="249">
        <v>1500</v>
      </c>
      <c r="M82" s="249">
        <f t="shared" si="1"/>
        <v>2250</v>
      </c>
      <c r="N82" s="249"/>
      <c r="O82" s="273">
        <v>2250</v>
      </c>
      <c r="P82" s="273"/>
      <c r="Q82" s="274" t="s">
        <v>763</v>
      </c>
      <c r="R82" s="274"/>
      <c r="S82" s="274"/>
      <c r="T82" s="274"/>
      <c r="U82" s="274"/>
    </row>
    <row r="83" spans="1:21" s="248" customFormat="1" ht="24.75" customHeight="1" outlineLevel="1">
      <c r="A83" s="243" t="s">
        <v>180</v>
      </c>
      <c r="B83" s="275" t="s">
        <v>680</v>
      </c>
      <c r="C83" s="275"/>
      <c r="D83" s="275"/>
      <c r="E83" s="273">
        <v>1500</v>
      </c>
      <c r="F83" s="273"/>
      <c r="G83" s="273">
        <v>2250</v>
      </c>
      <c r="H83" s="273"/>
      <c r="I83" s="273">
        <v>2250</v>
      </c>
      <c r="J83" s="273"/>
      <c r="K83" s="273"/>
      <c r="L83" s="249">
        <v>1500</v>
      </c>
      <c r="M83" s="249">
        <f t="shared" si="1"/>
        <v>2250</v>
      </c>
      <c r="N83" s="249"/>
      <c r="O83" s="273">
        <v>2250</v>
      </c>
      <c r="P83" s="273"/>
      <c r="Q83" s="274" t="s">
        <v>764</v>
      </c>
      <c r="R83" s="274"/>
      <c r="S83" s="274"/>
      <c r="T83" s="274"/>
      <c r="U83" s="274"/>
    </row>
    <row r="84" spans="1:21" s="248" customFormat="1" ht="24.75" customHeight="1">
      <c r="A84" s="243" t="s">
        <v>180</v>
      </c>
      <c r="B84" s="275" t="s">
        <v>680</v>
      </c>
      <c r="C84" s="275"/>
      <c r="D84" s="275"/>
      <c r="E84" s="273">
        <v>1500</v>
      </c>
      <c r="F84" s="273"/>
      <c r="G84" s="273">
        <v>2250</v>
      </c>
      <c r="H84" s="273"/>
      <c r="I84" s="273">
        <v>2250</v>
      </c>
      <c r="J84" s="273"/>
      <c r="K84" s="273"/>
      <c r="L84" s="249">
        <v>1500</v>
      </c>
      <c r="M84" s="249">
        <f t="shared" si="1"/>
        <v>2250</v>
      </c>
      <c r="N84" s="249"/>
      <c r="O84" s="273">
        <v>2250</v>
      </c>
      <c r="P84" s="273"/>
      <c r="Q84" s="274" t="s">
        <v>765</v>
      </c>
      <c r="R84" s="274"/>
      <c r="S84" s="274"/>
      <c r="T84" s="274"/>
      <c r="U84" s="274"/>
    </row>
    <row r="85" spans="1:21" s="248" customFormat="1" ht="24.75" customHeight="1">
      <c r="A85" s="243" t="s">
        <v>180</v>
      </c>
      <c r="B85" s="275" t="s">
        <v>680</v>
      </c>
      <c r="C85" s="275"/>
      <c r="D85" s="275"/>
      <c r="E85" s="273">
        <v>1500</v>
      </c>
      <c r="F85" s="273"/>
      <c r="G85" s="273">
        <v>2250</v>
      </c>
      <c r="H85" s="273"/>
      <c r="I85" s="273">
        <v>2250</v>
      </c>
      <c r="J85" s="273"/>
      <c r="K85" s="273"/>
      <c r="L85" s="249">
        <v>1500</v>
      </c>
      <c r="M85" s="249">
        <f t="shared" si="1"/>
        <v>2250</v>
      </c>
      <c r="N85" s="249"/>
      <c r="O85" s="273">
        <v>2250</v>
      </c>
      <c r="P85" s="273"/>
      <c r="Q85" s="274" t="s">
        <v>766</v>
      </c>
      <c r="R85" s="274"/>
      <c r="S85" s="274"/>
      <c r="T85" s="274"/>
      <c r="U85" s="274"/>
    </row>
    <row r="86" spans="1:21" s="248" customFormat="1" ht="24.75" customHeight="1">
      <c r="A86" s="243" t="s">
        <v>180</v>
      </c>
      <c r="B86" s="275" t="s">
        <v>680</v>
      </c>
      <c r="C86" s="275"/>
      <c r="D86" s="275"/>
      <c r="E86" s="273" t="s">
        <v>282</v>
      </c>
      <c r="F86" s="273"/>
      <c r="G86" s="273" t="s">
        <v>543</v>
      </c>
      <c r="H86" s="273"/>
      <c r="I86" s="273" t="s">
        <v>543</v>
      </c>
      <c r="J86" s="273"/>
      <c r="K86" s="273"/>
      <c r="L86" s="249" t="s">
        <v>282</v>
      </c>
      <c r="M86" s="249">
        <f t="shared" si="1"/>
        <v>750</v>
      </c>
      <c r="N86" s="249"/>
      <c r="O86" s="273">
        <v>750</v>
      </c>
      <c r="P86" s="273"/>
      <c r="Q86" s="274" t="s">
        <v>767</v>
      </c>
      <c r="R86" s="274"/>
      <c r="S86" s="274"/>
      <c r="T86" s="274"/>
      <c r="U86" s="274"/>
    </row>
    <row r="87" spans="1:21" s="248" customFormat="1" ht="24.75" customHeight="1">
      <c r="A87" s="243" t="s">
        <v>180</v>
      </c>
      <c r="B87" s="275" t="s">
        <v>667</v>
      </c>
      <c r="C87" s="275"/>
      <c r="D87" s="275"/>
      <c r="E87" s="273" t="s">
        <v>274</v>
      </c>
      <c r="F87" s="273"/>
      <c r="G87" s="273" t="s">
        <v>274</v>
      </c>
      <c r="H87" s="273"/>
      <c r="I87" s="273" t="s">
        <v>274</v>
      </c>
      <c r="J87" s="273"/>
      <c r="K87" s="273"/>
      <c r="L87" s="249" t="s">
        <v>179</v>
      </c>
      <c r="M87" s="249"/>
      <c r="N87" s="249"/>
      <c r="O87" s="273">
        <v>450</v>
      </c>
      <c r="P87" s="273"/>
      <c r="Q87" s="274" t="s">
        <v>768</v>
      </c>
      <c r="R87" s="274"/>
      <c r="S87" s="274"/>
      <c r="T87" s="274"/>
      <c r="U87" s="274"/>
    </row>
    <row r="88" spans="1:21" s="248" customFormat="1" ht="24.75" customHeight="1">
      <c r="A88" s="243" t="s">
        <v>180</v>
      </c>
      <c r="B88" s="275" t="s">
        <v>667</v>
      </c>
      <c r="C88" s="275"/>
      <c r="D88" s="275"/>
      <c r="E88" s="273" t="s">
        <v>135</v>
      </c>
      <c r="F88" s="273"/>
      <c r="G88" s="273" t="s">
        <v>135</v>
      </c>
      <c r="H88" s="273"/>
      <c r="I88" s="273" t="s">
        <v>135</v>
      </c>
      <c r="J88" s="273"/>
      <c r="K88" s="273"/>
      <c r="L88" s="249" t="s">
        <v>282</v>
      </c>
      <c r="M88" s="249">
        <f>E88*1.5</f>
        <v>450</v>
      </c>
      <c r="N88" s="249"/>
      <c r="O88" s="273">
        <v>500</v>
      </c>
      <c r="P88" s="273"/>
      <c r="Q88" s="274" t="s">
        <v>769</v>
      </c>
      <c r="R88" s="274"/>
      <c r="S88" s="274"/>
      <c r="T88" s="274"/>
      <c r="U88" s="274"/>
    </row>
    <row r="89" spans="1:21" s="248" customFormat="1" ht="24.75" customHeight="1">
      <c r="A89" s="243" t="s">
        <v>180</v>
      </c>
      <c r="B89" s="275" t="s">
        <v>680</v>
      </c>
      <c r="C89" s="275"/>
      <c r="D89" s="275"/>
      <c r="E89" s="273" t="s">
        <v>705</v>
      </c>
      <c r="F89" s="273"/>
      <c r="G89" s="273" t="s">
        <v>705</v>
      </c>
      <c r="H89" s="273"/>
      <c r="I89" s="273" t="s">
        <v>705</v>
      </c>
      <c r="J89" s="273"/>
      <c r="K89" s="273"/>
      <c r="L89" s="249" t="s">
        <v>705</v>
      </c>
      <c r="M89" s="249">
        <f>E89*1.5</f>
        <v>90</v>
      </c>
      <c r="N89" s="249"/>
      <c r="O89" s="273">
        <v>60</v>
      </c>
      <c r="P89" s="273"/>
      <c r="Q89" s="274" t="s">
        <v>770</v>
      </c>
      <c r="R89" s="274"/>
      <c r="S89" s="274"/>
      <c r="T89" s="274"/>
      <c r="U89" s="274"/>
    </row>
    <row r="90" spans="1:21" s="248" customFormat="1" ht="24.75" customHeight="1">
      <c r="A90" s="243" t="s">
        <v>180</v>
      </c>
      <c r="B90" s="275" t="s">
        <v>680</v>
      </c>
      <c r="C90" s="275"/>
      <c r="D90" s="275"/>
      <c r="E90" s="273" t="s">
        <v>771</v>
      </c>
      <c r="F90" s="273"/>
      <c r="G90" s="273" t="s">
        <v>771</v>
      </c>
      <c r="H90" s="273"/>
      <c r="I90" s="273" t="s">
        <v>771</v>
      </c>
      <c r="J90" s="273"/>
      <c r="K90" s="273"/>
      <c r="L90" s="249" t="s">
        <v>771</v>
      </c>
      <c r="M90" s="249">
        <f>E90*1.5</f>
        <v>60</v>
      </c>
      <c r="N90" s="249"/>
      <c r="O90" s="273">
        <v>40</v>
      </c>
      <c r="P90" s="273"/>
      <c r="Q90" s="274" t="s">
        <v>772</v>
      </c>
      <c r="R90" s="274"/>
      <c r="S90" s="274"/>
      <c r="T90" s="274"/>
      <c r="U90" s="274"/>
    </row>
    <row r="91" spans="1:21" s="248" customFormat="1" ht="24.75" customHeight="1">
      <c r="A91" s="243" t="s">
        <v>180</v>
      </c>
      <c r="B91" s="275" t="s">
        <v>680</v>
      </c>
      <c r="C91" s="275"/>
      <c r="D91" s="275"/>
      <c r="E91" s="273" t="s">
        <v>773</v>
      </c>
      <c r="F91" s="273"/>
      <c r="G91" s="328" t="s">
        <v>773</v>
      </c>
      <c r="H91" s="328"/>
      <c r="I91" s="328" t="s">
        <v>179</v>
      </c>
      <c r="J91" s="328"/>
      <c r="K91" s="328"/>
      <c r="L91" s="254" t="s">
        <v>773</v>
      </c>
      <c r="M91" s="254">
        <v>20</v>
      </c>
      <c r="N91" s="254"/>
      <c r="O91" s="328">
        <v>20</v>
      </c>
      <c r="P91" s="328"/>
      <c r="Q91" s="274" t="s">
        <v>774</v>
      </c>
      <c r="R91" s="274"/>
      <c r="S91" s="274"/>
      <c r="T91" s="274"/>
      <c r="U91" s="274"/>
    </row>
    <row r="92" spans="1:21" s="248" customFormat="1" ht="24.75" customHeight="1">
      <c r="A92" s="243" t="s">
        <v>180</v>
      </c>
      <c r="B92" s="275" t="s">
        <v>680</v>
      </c>
      <c r="C92" s="275"/>
      <c r="D92" s="275"/>
      <c r="E92" s="273" t="s">
        <v>179</v>
      </c>
      <c r="F92" s="273"/>
      <c r="G92" s="273" t="s">
        <v>179</v>
      </c>
      <c r="H92" s="273"/>
      <c r="I92" s="273" t="s">
        <v>179</v>
      </c>
      <c r="J92" s="273"/>
      <c r="K92" s="273"/>
      <c r="L92" s="249">
        <v>2000</v>
      </c>
      <c r="M92" s="249">
        <f>L92</f>
        <v>2000</v>
      </c>
      <c r="N92" s="249"/>
      <c r="O92" s="273">
        <v>2000</v>
      </c>
      <c r="P92" s="273"/>
      <c r="Q92" s="274" t="s">
        <v>775</v>
      </c>
      <c r="R92" s="274"/>
      <c r="S92" s="274"/>
      <c r="T92" s="274"/>
      <c r="U92" s="274"/>
    </row>
    <row r="93" spans="1:21" s="248" customFormat="1" ht="26.25" customHeight="1">
      <c r="A93" s="243" t="s">
        <v>180</v>
      </c>
      <c r="B93" s="275" t="s">
        <v>680</v>
      </c>
      <c r="C93" s="275"/>
      <c r="D93" s="275"/>
      <c r="E93" s="273">
        <v>6500</v>
      </c>
      <c r="F93" s="273"/>
      <c r="G93" s="273">
        <v>4078</v>
      </c>
      <c r="H93" s="273"/>
      <c r="I93" s="273">
        <v>3275</v>
      </c>
      <c r="J93" s="273"/>
      <c r="K93" s="273"/>
      <c r="L93" s="249">
        <v>10000</v>
      </c>
      <c r="M93" s="249">
        <f>M144-SUM(M127:M139)</f>
        <v>0</v>
      </c>
      <c r="N93" s="249"/>
      <c r="O93" s="273">
        <v>15880</v>
      </c>
      <c r="P93" s="273"/>
      <c r="Q93" s="274" t="s">
        <v>776</v>
      </c>
      <c r="R93" s="274"/>
      <c r="S93" s="274"/>
      <c r="T93" s="274"/>
      <c r="U93" s="274"/>
    </row>
    <row r="94" spans="1:22" s="248" customFormat="1" ht="19.5" customHeight="1">
      <c r="A94" s="316" t="s">
        <v>97</v>
      </c>
      <c r="B94" s="316"/>
      <c r="C94" s="316"/>
      <c r="D94" s="316"/>
      <c r="E94" s="325">
        <v>17490</v>
      </c>
      <c r="F94" s="325"/>
      <c r="G94" s="325">
        <v>38064</v>
      </c>
      <c r="H94" s="325"/>
      <c r="I94" s="325">
        <v>34213</v>
      </c>
      <c r="J94" s="325"/>
      <c r="K94" s="325"/>
      <c r="L94" s="251">
        <v>23100</v>
      </c>
      <c r="M94" s="251">
        <f>E94+20000</f>
        <v>37490</v>
      </c>
      <c r="N94" s="255">
        <v>37300</v>
      </c>
      <c r="O94" s="329">
        <f>SUM(O45:P93)</f>
        <v>33200</v>
      </c>
      <c r="P94" s="330"/>
      <c r="Q94" s="274"/>
      <c r="R94" s="274"/>
      <c r="S94" s="274"/>
      <c r="T94" s="274"/>
      <c r="U94" s="274"/>
      <c r="V94" s="252"/>
    </row>
    <row r="95" spans="1:21" s="248" customFormat="1" ht="19.5" customHeight="1">
      <c r="A95" s="315" t="s">
        <v>133</v>
      </c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</row>
    <row r="96" spans="1:21" s="248" customFormat="1" ht="24.75" customHeight="1" hidden="1" outlineLevel="1">
      <c r="A96" s="243" t="s">
        <v>180</v>
      </c>
      <c r="B96" s="275" t="s">
        <v>669</v>
      </c>
      <c r="C96" s="275"/>
      <c r="D96" s="275"/>
      <c r="E96" s="273" t="s">
        <v>179</v>
      </c>
      <c r="F96" s="273"/>
      <c r="G96" s="273" t="s">
        <v>712</v>
      </c>
      <c r="H96" s="273"/>
      <c r="I96" s="273" t="s">
        <v>712</v>
      </c>
      <c r="J96" s="273"/>
      <c r="K96" s="273"/>
      <c r="L96" s="249" t="s">
        <v>179</v>
      </c>
      <c r="M96" s="249"/>
      <c r="N96" s="249"/>
      <c r="O96" s="275" t="s">
        <v>180</v>
      </c>
      <c r="P96" s="275"/>
      <c r="Q96" s="274" t="s">
        <v>777</v>
      </c>
      <c r="R96" s="274"/>
      <c r="S96" s="274"/>
      <c r="T96" s="274"/>
      <c r="U96" s="274"/>
    </row>
    <row r="97" spans="1:21" s="248" customFormat="1" ht="24.75" customHeight="1" hidden="1" outlineLevel="1">
      <c r="A97" s="243" t="s">
        <v>180</v>
      </c>
      <c r="B97" s="275" t="s">
        <v>669</v>
      </c>
      <c r="C97" s="275"/>
      <c r="D97" s="275"/>
      <c r="E97" s="273" t="s">
        <v>179</v>
      </c>
      <c r="F97" s="273"/>
      <c r="G97" s="273" t="s">
        <v>778</v>
      </c>
      <c r="H97" s="273"/>
      <c r="I97" s="273" t="s">
        <v>778</v>
      </c>
      <c r="J97" s="273"/>
      <c r="K97" s="273"/>
      <c r="L97" s="249" t="s">
        <v>179</v>
      </c>
      <c r="M97" s="249"/>
      <c r="N97" s="249"/>
      <c r="O97" s="275" t="s">
        <v>180</v>
      </c>
      <c r="P97" s="275"/>
      <c r="Q97" s="274" t="s">
        <v>779</v>
      </c>
      <c r="R97" s="274"/>
      <c r="S97" s="274"/>
      <c r="T97" s="274"/>
      <c r="U97" s="274"/>
    </row>
    <row r="98" spans="1:21" s="248" customFormat="1" ht="24.75" customHeight="1" hidden="1" outlineLevel="1">
      <c r="A98" s="243" t="s">
        <v>180</v>
      </c>
      <c r="B98" s="275" t="s">
        <v>669</v>
      </c>
      <c r="C98" s="275"/>
      <c r="D98" s="275"/>
      <c r="E98" s="273" t="s">
        <v>179</v>
      </c>
      <c r="F98" s="273"/>
      <c r="G98" s="273" t="s">
        <v>780</v>
      </c>
      <c r="H98" s="273"/>
      <c r="I98" s="273" t="s">
        <v>780</v>
      </c>
      <c r="J98" s="273"/>
      <c r="K98" s="273"/>
      <c r="L98" s="249" t="s">
        <v>179</v>
      </c>
      <c r="M98" s="249"/>
      <c r="N98" s="249"/>
      <c r="O98" s="275" t="s">
        <v>180</v>
      </c>
      <c r="P98" s="275"/>
      <c r="Q98" s="274" t="s">
        <v>782</v>
      </c>
      <c r="R98" s="274"/>
      <c r="S98" s="274"/>
      <c r="T98" s="274"/>
      <c r="U98" s="274"/>
    </row>
    <row r="99" spans="1:21" s="248" customFormat="1" ht="24.75" customHeight="1" hidden="1" outlineLevel="1">
      <c r="A99" s="243" t="s">
        <v>180</v>
      </c>
      <c r="B99" s="275" t="s">
        <v>669</v>
      </c>
      <c r="C99" s="275"/>
      <c r="D99" s="275"/>
      <c r="E99" s="273" t="s">
        <v>179</v>
      </c>
      <c r="F99" s="273"/>
      <c r="G99" s="273" t="s">
        <v>277</v>
      </c>
      <c r="H99" s="273"/>
      <c r="I99" s="273" t="s">
        <v>277</v>
      </c>
      <c r="J99" s="273"/>
      <c r="K99" s="273"/>
      <c r="L99" s="249" t="s">
        <v>179</v>
      </c>
      <c r="M99" s="249"/>
      <c r="N99" s="249"/>
      <c r="O99" s="275" t="s">
        <v>180</v>
      </c>
      <c r="P99" s="275"/>
      <c r="Q99" s="274" t="s">
        <v>783</v>
      </c>
      <c r="R99" s="274"/>
      <c r="S99" s="274"/>
      <c r="T99" s="274"/>
      <c r="U99" s="274"/>
    </row>
    <row r="100" spans="1:22" s="248" customFormat="1" ht="24.75" customHeight="1" collapsed="1">
      <c r="A100" s="243" t="s">
        <v>180</v>
      </c>
      <c r="B100" s="275" t="s">
        <v>669</v>
      </c>
      <c r="C100" s="275"/>
      <c r="D100" s="275"/>
      <c r="E100" s="273" t="s">
        <v>85</v>
      </c>
      <c r="F100" s="273"/>
      <c r="G100" s="273" t="s">
        <v>179</v>
      </c>
      <c r="H100" s="273"/>
      <c r="I100" s="273" t="s">
        <v>179</v>
      </c>
      <c r="J100" s="273"/>
      <c r="K100" s="273"/>
      <c r="L100" s="249" t="s">
        <v>784</v>
      </c>
      <c r="M100" s="249" t="str">
        <f>L100</f>
        <v>470</v>
      </c>
      <c r="N100" s="249"/>
      <c r="O100" s="273">
        <v>450</v>
      </c>
      <c r="P100" s="273"/>
      <c r="Q100" s="274" t="s">
        <v>785</v>
      </c>
      <c r="R100" s="274"/>
      <c r="S100" s="274"/>
      <c r="T100" s="274"/>
      <c r="U100" s="274"/>
      <c r="V100" s="256"/>
    </row>
    <row r="101" spans="1:22" s="248" customFormat="1" ht="24.75" customHeight="1" hidden="1" outlineLevel="1">
      <c r="A101" s="243" t="s">
        <v>180</v>
      </c>
      <c r="B101" s="275" t="s">
        <v>669</v>
      </c>
      <c r="C101" s="275"/>
      <c r="D101" s="275"/>
      <c r="E101" s="273" t="s">
        <v>179</v>
      </c>
      <c r="F101" s="273"/>
      <c r="G101" s="273" t="s">
        <v>786</v>
      </c>
      <c r="H101" s="273"/>
      <c r="I101" s="273" t="s">
        <v>786</v>
      </c>
      <c r="J101" s="273"/>
      <c r="K101" s="273"/>
      <c r="L101" s="249" t="s">
        <v>179</v>
      </c>
      <c r="M101" s="249" t="str">
        <f>L101</f>
        <v>0</v>
      </c>
      <c r="N101" s="249"/>
      <c r="O101" s="273" t="s">
        <v>180</v>
      </c>
      <c r="P101" s="273"/>
      <c r="Q101" s="274" t="s">
        <v>787</v>
      </c>
      <c r="R101" s="274"/>
      <c r="S101" s="274"/>
      <c r="T101" s="274"/>
      <c r="U101" s="274"/>
      <c r="V101" s="256"/>
    </row>
    <row r="102" spans="1:22" s="248" customFormat="1" ht="24.75" customHeight="1" hidden="1" outlineLevel="1">
      <c r="A102" s="243" t="s">
        <v>180</v>
      </c>
      <c r="B102" s="275" t="s">
        <v>667</v>
      </c>
      <c r="C102" s="275"/>
      <c r="D102" s="275"/>
      <c r="E102" s="273" t="s">
        <v>179</v>
      </c>
      <c r="F102" s="273"/>
      <c r="G102" s="273" t="s">
        <v>788</v>
      </c>
      <c r="H102" s="273"/>
      <c r="I102" s="273" t="s">
        <v>788</v>
      </c>
      <c r="J102" s="273"/>
      <c r="K102" s="273"/>
      <c r="L102" s="249" t="s">
        <v>179</v>
      </c>
      <c r="M102" s="249"/>
      <c r="N102" s="249"/>
      <c r="O102" s="273" t="s">
        <v>180</v>
      </c>
      <c r="P102" s="273"/>
      <c r="Q102" s="274" t="s">
        <v>789</v>
      </c>
      <c r="R102" s="274"/>
      <c r="S102" s="274"/>
      <c r="T102" s="274"/>
      <c r="U102" s="274"/>
      <c r="V102" s="256"/>
    </row>
    <row r="103" spans="1:22" s="248" customFormat="1" ht="24.75" customHeight="1" hidden="1" outlineLevel="1">
      <c r="A103" s="243" t="s">
        <v>180</v>
      </c>
      <c r="B103" s="275" t="s">
        <v>667</v>
      </c>
      <c r="C103" s="275"/>
      <c r="D103" s="275"/>
      <c r="E103" s="273" t="s">
        <v>179</v>
      </c>
      <c r="F103" s="273"/>
      <c r="G103" s="273" t="s">
        <v>495</v>
      </c>
      <c r="H103" s="273"/>
      <c r="I103" s="273" t="s">
        <v>495</v>
      </c>
      <c r="J103" s="273"/>
      <c r="K103" s="273"/>
      <c r="L103" s="249" t="s">
        <v>179</v>
      </c>
      <c r="M103" s="249"/>
      <c r="N103" s="249"/>
      <c r="O103" s="273" t="s">
        <v>180</v>
      </c>
      <c r="P103" s="273"/>
      <c r="Q103" s="274" t="s">
        <v>790</v>
      </c>
      <c r="R103" s="274"/>
      <c r="S103" s="274"/>
      <c r="T103" s="274"/>
      <c r="U103" s="274"/>
      <c r="V103" s="256"/>
    </row>
    <row r="104" spans="1:22" s="248" customFormat="1" ht="24.75" customHeight="1" hidden="1" outlineLevel="1">
      <c r="A104" s="243" t="s">
        <v>180</v>
      </c>
      <c r="B104" s="275" t="s">
        <v>667</v>
      </c>
      <c r="C104" s="275"/>
      <c r="D104" s="275"/>
      <c r="E104" s="273" t="s">
        <v>179</v>
      </c>
      <c r="F104" s="273"/>
      <c r="G104" s="273" t="s">
        <v>705</v>
      </c>
      <c r="H104" s="273"/>
      <c r="I104" s="273" t="s">
        <v>705</v>
      </c>
      <c r="J104" s="273"/>
      <c r="K104" s="273"/>
      <c r="L104" s="249" t="s">
        <v>179</v>
      </c>
      <c r="M104" s="249"/>
      <c r="N104" s="249"/>
      <c r="O104" s="273" t="s">
        <v>180</v>
      </c>
      <c r="P104" s="273"/>
      <c r="Q104" s="274" t="s">
        <v>791</v>
      </c>
      <c r="R104" s="274"/>
      <c r="S104" s="274"/>
      <c r="T104" s="274"/>
      <c r="U104" s="274"/>
      <c r="V104" s="256"/>
    </row>
    <row r="105" spans="1:22" s="248" customFormat="1" ht="24.75" customHeight="1" collapsed="1">
      <c r="A105" s="243" t="s">
        <v>180</v>
      </c>
      <c r="B105" s="275" t="s">
        <v>34</v>
      </c>
      <c r="C105" s="275"/>
      <c r="D105" s="275"/>
      <c r="E105" s="273" t="s">
        <v>249</v>
      </c>
      <c r="F105" s="273"/>
      <c r="G105" s="273" t="e">
        <f>#REF!</f>
        <v>#REF!</v>
      </c>
      <c r="H105" s="273"/>
      <c r="I105" s="273" t="e">
        <f>#REF!</f>
        <v>#REF!</v>
      </c>
      <c r="J105" s="273"/>
      <c r="K105" s="273"/>
      <c r="L105" s="249" t="s">
        <v>684</v>
      </c>
      <c r="M105" s="249">
        <f>E105+1600</f>
        <v>2150</v>
      </c>
      <c r="N105" s="257"/>
      <c r="O105" s="273">
        <v>1730</v>
      </c>
      <c r="P105" s="273"/>
      <c r="Q105" s="274" t="s">
        <v>792</v>
      </c>
      <c r="R105" s="274"/>
      <c r="S105" s="274"/>
      <c r="T105" s="274"/>
      <c r="U105" s="274"/>
      <c r="V105" s="256"/>
    </row>
    <row r="106" spans="1:22" s="248" customFormat="1" ht="24.75" customHeight="1" hidden="1" outlineLevel="1">
      <c r="A106" s="243" t="s">
        <v>180</v>
      </c>
      <c r="B106" s="275" t="s">
        <v>680</v>
      </c>
      <c r="C106" s="275"/>
      <c r="D106" s="275"/>
      <c r="E106" s="273" t="s">
        <v>179</v>
      </c>
      <c r="F106" s="273"/>
      <c r="G106" s="273" t="s">
        <v>793</v>
      </c>
      <c r="H106" s="273"/>
      <c r="I106" s="273" t="s">
        <v>793</v>
      </c>
      <c r="J106" s="273"/>
      <c r="K106" s="273"/>
      <c r="L106" s="249" t="s">
        <v>179</v>
      </c>
      <c r="M106" s="249">
        <f>E106+1600</f>
        <v>1600</v>
      </c>
      <c r="N106" s="249"/>
      <c r="O106" s="273" t="s">
        <v>180</v>
      </c>
      <c r="P106" s="273"/>
      <c r="Q106" s="274" t="s">
        <v>791</v>
      </c>
      <c r="R106" s="274"/>
      <c r="S106" s="274"/>
      <c r="T106" s="274"/>
      <c r="U106" s="274"/>
      <c r="V106" s="256"/>
    </row>
    <row r="107" spans="1:22" s="248" customFormat="1" ht="24.75" customHeight="1" hidden="1" outlineLevel="1">
      <c r="A107" s="243" t="s">
        <v>180</v>
      </c>
      <c r="B107" s="275" t="s">
        <v>669</v>
      </c>
      <c r="C107" s="275"/>
      <c r="D107" s="275"/>
      <c r="E107" s="273" t="s">
        <v>179</v>
      </c>
      <c r="F107" s="273"/>
      <c r="G107" s="273" t="s">
        <v>277</v>
      </c>
      <c r="H107" s="273"/>
      <c r="I107" s="273" t="s">
        <v>277</v>
      </c>
      <c r="J107" s="273"/>
      <c r="K107" s="273"/>
      <c r="L107" s="249" t="s">
        <v>179</v>
      </c>
      <c r="M107" s="249">
        <f>E107+1600</f>
        <v>1600</v>
      </c>
      <c r="N107" s="249"/>
      <c r="O107" s="273" t="s">
        <v>180</v>
      </c>
      <c r="P107" s="273"/>
      <c r="Q107" s="274" t="s">
        <v>794</v>
      </c>
      <c r="R107" s="274"/>
      <c r="S107" s="274"/>
      <c r="T107" s="274"/>
      <c r="U107" s="274"/>
      <c r="V107" s="256"/>
    </row>
    <row r="108" spans="1:22" s="248" customFormat="1" ht="24.75" customHeight="1" hidden="1" outlineLevel="1">
      <c r="A108" s="243" t="s">
        <v>180</v>
      </c>
      <c r="B108" s="275" t="s">
        <v>36</v>
      </c>
      <c r="C108" s="275"/>
      <c r="D108" s="275"/>
      <c r="E108" s="273" t="s">
        <v>179</v>
      </c>
      <c r="F108" s="273"/>
      <c r="G108" s="273" t="s">
        <v>771</v>
      </c>
      <c r="H108" s="273"/>
      <c r="I108" s="273" t="s">
        <v>771</v>
      </c>
      <c r="J108" s="273"/>
      <c r="K108" s="273"/>
      <c r="L108" s="249" t="s">
        <v>179</v>
      </c>
      <c r="M108" s="249">
        <f>E108+1600</f>
        <v>1600</v>
      </c>
      <c r="N108" s="249"/>
      <c r="O108" s="273" t="s">
        <v>180</v>
      </c>
      <c r="P108" s="273"/>
      <c r="Q108" s="274" t="s">
        <v>795</v>
      </c>
      <c r="R108" s="274"/>
      <c r="S108" s="274"/>
      <c r="T108" s="274"/>
      <c r="U108" s="274"/>
      <c r="V108" s="256"/>
    </row>
    <row r="109" spans="1:22" s="248" customFormat="1" ht="24.75" customHeight="1" collapsed="1">
      <c r="A109" s="243" t="s">
        <v>180</v>
      </c>
      <c r="B109" s="331" t="s">
        <v>665</v>
      </c>
      <c r="C109" s="331"/>
      <c r="D109" s="331"/>
      <c r="E109" s="328" t="s">
        <v>352</v>
      </c>
      <c r="F109" s="328"/>
      <c r="G109" s="328" t="s">
        <v>352</v>
      </c>
      <c r="H109" s="328"/>
      <c r="I109" s="328" t="s">
        <v>720</v>
      </c>
      <c r="J109" s="328"/>
      <c r="K109" s="328"/>
      <c r="L109" s="254" t="s">
        <v>179</v>
      </c>
      <c r="M109" s="254"/>
      <c r="N109" s="254"/>
      <c r="O109" s="332">
        <v>200</v>
      </c>
      <c r="P109" s="332"/>
      <c r="Q109" s="333" t="s">
        <v>796</v>
      </c>
      <c r="R109" s="333"/>
      <c r="S109" s="333"/>
      <c r="T109" s="333"/>
      <c r="U109" s="333"/>
      <c r="V109" s="256"/>
    </row>
    <row r="110" spans="1:21" s="248" customFormat="1" ht="19.5" customHeight="1">
      <c r="A110" s="316" t="s">
        <v>132</v>
      </c>
      <c r="B110" s="316"/>
      <c r="C110" s="316"/>
      <c r="D110" s="316"/>
      <c r="E110" s="325" t="s">
        <v>352</v>
      </c>
      <c r="F110" s="325"/>
      <c r="G110" s="325" t="s">
        <v>352</v>
      </c>
      <c r="H110" s="325"/>
      <c r="I110" s="325" t="s">
        <v>720</v>
      </c>
      <c r="J110" s="325"/>
      <c r="K110" s="325"/>
      <c r="L110" s="251" t="s">
        <v>179</v>
      </c>
      <c r="M110" s="251"/>
      <c r="N110" s="251"/>
      <c r="O110" s="325">
        <f>O109+O105+O100</f>
        <v>2380</v>
      </c>
      <c r="P110" s="334"/>
      <c r="Q110" s="274" t="s">
        <v>180</v>
      </c>
      <c r="R110" s="274"/>
      <c r="S110" s="274"/>
      <c r="T110" s="274"/>
      <c r="U110" s="274"/>
    </row>
    <row r="111" spans="1:21" s="248" customFormat="1" ht="19.5" customHeight="1" hidden="1">
      <c r="A111" s="315" t="s">
        <v>797</v>
      </c>
      <c r="B111" s="315"/>
      <c r="C111" s="315"/>
      <c r="D111" s="315"/>
      <c r="E111" s="315"/>
      <c r="F111" s="315"/>
      <c r="G111" s="315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</row>
    <row r="112" spans="1:21" s="248" customFormat="1" ht="19.5" customHeight="1" hidden="1">
      <c r="A112" s="243" t="s">
        <v>180</v>
      </c>
      <c r="B112" s="275" t="s">
        <v>687</v>
      </c>
      <c r="C112" s="275"/>
      <c r="D112" s="275"/>
      <c r="E112" s="273" t="s">
        <v>179</v>
      </c>
      <c r="F112" s="273"/>
      <c r="G112" s="273" t="s">
        <v>798</v>
      </c>
      <c r="H112" s="273"/>
      <c r="I112" s="273" t="s">
        <v>798</v>
      </c>
      <c r="J112" s="273"/>
      <c r="K112" s="273"/>
      <c r="L112" s="249" t="s">
        <v>179</v>
      </c>
      <c r="M112" s="249"/>
      <c r="N112" s="249"/>
      <c r="O112" s="275" t="s">
        <v>180</v>
      </c>
      <c r="P112" s="275"/>
      <c r="Q112" s="274" t="s">
        <v>799</v>
      </c>
      <c r="R112" s="274"/>
      <c r="S112" s="274"/>
      <c r="T112" s="274"/>
      <c r="U112" s="274"/>
    </row>
    <row r="113" spans="1:21" s="248" customFormat="1" ht="19.5" customHeight="1" hidden="1">
      <c r="A113" s="316" t="s">
        <v>800</v>
      </c>
      <c r="B113" s="316"/>
      <c r="C113" s="316"/>
      <c r="D113" s="316"/>
      <c r="E113" s="273" t="s">
        <v>179</v>
      </c>
      <c r="F113" s="273"/>
      <c r="G113" s="273" t="s">
        <v>798</v>
      </c>
      <c r="H113" s="273"/>
      <c r="I113" s="273" t="s">
        <v>798</v>
      </c>
      <c r="J113" s="273"/>
      <c r="K113" s="273"/>
      <c r="L113" s="249" t="s">
        <v>179</v>
      </c>
      <c r="M113" s="249"/>
      <c r="N113" s="249"/>
      <c r="O113" s="275" t="s">
        <v>180</v>
      </c>
      <c r="P113" s="275"/>
      <c r="Q113" s="274" t="s">
        <v>180</v>
      </c>
      <c r="R113" s="274"/>
      <c r="S113" s="274"/>
      <c r="T113" s="274"/>
      <c r="U113" s="274"/>
    </row>
    <row r="114" spans="1:21" s="248" customFormat="1" ht="19.5" customHeight="1" hidden="1">
      <c r="A114" s="315" t="s">
        <v>801</v>
      </c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</row>
    <row r="115" spans="1:21" s="248" customFormat="1" ht="35.25" customHeight="1" hidden="1">
      <c r="A115" s="243" t="s">
        <v>180</v>
      </c>
      <c r="B115" s="275" t="s">
        <v>665</v>
      </c>
      <c r="C115" s="275"/>
      <c r="D115" s="275"/>
      <c r="E115" s="273" t="s">
        <v>179</v>
      </c>
      <c r="F115" s="273"/>
      <c r="G115" s="273" t="s">
        <v>18</v>
      </c>
      <c r="H115" s="273"/>
      <c r="I115" s="273" t="s">
        <v>18</v>
      </c>
      <c r="J115" s="273"/>
      <c r="K115" s="273"/>
      <c r="L115" s="249" t="s">
        <v>179</v>
      </c>
      <c r="M115" s="249"/>
      <c r="N115" s="249"/>
      <c r="O115" s="275" t="s">
        <v>180</v>
      </c>
      <c r="P115" s="275"/>
      <c r="Q115" s="274" t="s">
        <v>802</v>
      </c>
      <c r="R115" s="274"/>
      <c r="S115" s="274"/>
      <c r="T115" s="274"/>
      <c r="U115" s="274"/>
    </row>
    <row r="116" spans="1:21" s="248" customFormat="1" ht="19.5" customHeight="1" hidden="1">
      <c r="A116" s="316" t="s">
        <v>803</v>
      </c>
      <c r="B116" s="316"/>
      <c r="C116" s="316"/>
      <c r="D116" s="316"/>
      <c r="E116" s="273" t="s">
        <v>179</v>
      </c>
      <c r="F116" s="273"/>
      <c r="G116" s="273" t="s">
        <v>18</v>
      </c>
      <c r="H116" s="273"/>
      <c r="I116" s="273" t="s">
        <v>18</v>
      </c>
      <c r="J116" s="273"/>
      <c r="K116" s="273"/>
      <c r="L116" s="249" t="s">
        <v>179</v>
      </c>
      <c r="M116" s="249"/>
      <c r="N116" s="249"/>
      <c r="O116" s="275" t="s">
        <v>180</v>
      </c>
      <c r="P116" s="275"/>
      <c r="Q116" s="274" t="s">
        <v>180</v>
      </c>
      <c r="R116" s="274"/>
      <c r="S116" s="274"/>
      <c r="T116" s="274"/>
      <c r="U116" s="274"/>
    </row>
    <row r="117" spans="1:21" s="248" customFormat="1" ht="19.5" customHeight="1" hidden="1">
      <c r="A117" s="315" t="s">
        <v>804</v>
      </c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</row>
    <row r="118" spans="1:21" s="248" customFormat="1" ht="28.5" customHeight="1" hidden="1">
      <c r="A118" s="243" t="s">
        <v>180</v>
      </c>
      <c r="B118" s="275" t="s">
        <v>680</v>
      </c>
      <c r="C118" s="275"/>
      <c r="D118" s="275"/>
      <c r="E118" s="273" t="s">
        <v>179</v>
      </c>
      <c r="F118" s="273"/>
      <c r="G118" s="273" t="s">
        <v>773</v>
      </c>
      <c r="H118" s="273"/>
      <c r="I118" s="273" t="s">
        <v>773</v>
      </c>
      <c r="J118" s="273"/>
      <c r="K118" s="273"/>
      <c r="L118" s="249" t="s">
        <v>179</v>
      </c>
      <c r="M118" s="249"/>
      <c r="N118" s="249"/>
      <c r="O118" s="275" t="s">
        <v>180</v>
      </c>
      <c r="P118" s="275"/>
      <c r="Q118" s="274" t="s">
        <v>805</v>
      </c>
      <c r="R118" s="274"/>
      <c r="S118" s="274"/>
      <c r="T118" s="274"/>
      <c r="U118" s="274"/>
    </row>
    <row r="119" spans="1:21" s="248" customFormat="1" ht="19.5" customHeight="1" hidden="1">
      <c r="A119" s="316" t="s">
        <v>806</v>
      </c>
      <c r="B119" s="316"/>
      <c r="C119" s="316"/>
      <c r="D119" s="316"/>
      <c r="E119" s="273" t="s">
        <v>179</v>
      </c>
      <c r="F119" s="273"/>
      <c r="G119" s="273" t="s">
        <v>773</v>
      </c>
      <c r="H119" s="273"/>
      <c r="I119" s="273" t="s">
        <v>773</v>
      </c>
      <c r="J119" s="273"/>
      <c r="K119" s="273"/>
      <c r="L119" s="249" t="s">
        <v>179</v>
      </c>
      <c r="M119" s="249"/>
      <c r="N119" s="249"/>
      <c r="O119" s="275" t="s">
        <v>180</v>
      </c>
      <c r="P119" s="275"/>
      <c r="Q119" s="274" t="s">
        <v>180</v>
      </c>
      <c r="R119" s="274"/>
      <c r="S119" s="274"/>
      <c r="T119" s="274"/>
      <c r="U119" s="274"/>
    </row>
    <row r="120" spans="1:21" s="248" customFormat="1" ht="19.5" customHeight="1" hidden="1">
      <c r="A120" s="315" t="s">
        <v>807</v>
      </c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</row>
    <row r="121" spans="1:21" s="248" customFormat="1" ht="24.75" customHeight="1" hidden="1" outlineLevel="1">
      <c r="A121" s="243" t="s">
        <v>180</v>
      </c>
      <c r="B121" s="275" t="s">
        <v>665</v>
      </c>
      <c r="C121" s="275"/>
      <c r="D121" s="275"/>
      <c r="E121" s="273" t="s">
        <v>179</v>
      </c>
      <c r="F121" s="273"/>
      <c r="G121" s="273" t="s">
        <v>798</v>
      </c>
      <c r="H121" s="273"/>
      <c r="I121" s="273" t="s">
        <v>798</v>
      </c>
      <c r="J121" s="273"/>
      <c r="K121" s="273"/>
      <c r="L121" s="249" t="s">
        <v>179</v>
      </c>
      <c r="M121" s="249"/>
      <c r="N121" s="249"/>
      <c r="O121" s="275" t="s">
        <v>180</v>
      </c>
      <c r="P121" s="275"/>
      <c r="Q121" s="274" t="s">
        <v>808</v>
      </c>
      <c r="R121" s="274"/>
      <c r="S121" s="274"/>
      <c r="T121" s="274"/>
      <c r="U121" s="274"/>
    </row>
    <row r="122" spans="1:21" s="248" customFormat="1" ht="24.75" customHeight="1" hidden="1" outlineLevel="1">
      <c r="A122" s="243" t="s">
        <v>180</v>
      </c>
      <c r="B122" s="275" t="s">
        <v>669</v>
      </c>
      <c r="C122" s="275"/>
      <c r="D122" s="275"/>
      <c r="E122" s="273" t="s">
        <v>179</v>
      </c>
      <c r="F122" s="273"/>
      <c r="G122" s="273" t="s">
        <v>771</v>
      </c>
      <c r="H122" s="273"/>
      <c r="I122" s="273" t="s">
        <v>771</v>
      </c>
      <c r="J122" s="273"/>
      <c r="K122" s="273"/>
      <c r="L122" s="249" t="s">
        <v>179</v>
      </c>
      <c r="M122" s="249"/>
      <c r="N122" s="249"/>
      <c r="O122" s="275" t="s">
        <v>180</v>
      </c>
      <c r="P122" s="275"/>
      <c r="Q122" s="274" t="s">
        <v>809</v>
      </c>
      <c r="R122" s="274"/>
      <c r="S122" s="274"/>
      <c r="T122" s="274"/>
      <c r="U122" s="274"/>
    </row>
    <row r="123" spans="1:21" s="248" customFormat="1" ht="24.75" customHeight="1" hidden="1" outlineLevel="1">
      <c r="A123" s="243" t="s">
        <v>180</v>
      </c>
      <c r="B123" s="275" t="s">
        <v>687</v>
      </c>
      <c r="C123" s="275"/>
      <c r="D123" s="275"/>
      <c r="E123" s="273" t="s">
        <v>179</v>
      </c>
      <c r="F123" s="273"/>
      <c r="G123" s="273" t="s">
        <v>18</v>
      </c>
      <c r="H123" s="273"/>
      <c r="I123" s="273" t="s">
        <v>18</v>
      </c>
      <c r="J123" s="273"/>
      <c r="K123" s="273"/>
      <c r="L123" s="249" t="s">
        <v>179</v>
      </c>
      <c r="M123" s="249"/>
      <c r="N123" s="249"/>
      <c r="O123" s="275" t="s">
        <v>180</v>
      </c>
      <c r="P123" s="275"/>
      <c r="Q123" s="274" t="s">
        <v>810</v>
      </c>
      <c r="R123" s="274"/>
      <c r="S123" s="274"/>
      <c r="T123" s="274"/>
      <c r="U123" s="274"/>
    </row>
    <row r="124" spans="1:21" s="248" customFormat="1" ht="24.75" customHeight="1" hidden="1" outlineLevel="1">
      <c r="A124" s="243" t="s">
        <v>180</v>
      </c>
      <c r="B124" s="275" t="s">
        <v>667</v>
      </c>
      <c r="C124" s="275"/>
      <c r="D124" s="275"/>
      <c r="E124" s="273" t="s">
        <v>179</v>
      </c>
      <c r="F124" s="273"/>
      <c r="G124" s="273" t="s">
        <v>260</v>
      </c>
      <c r="H124" s="273"/>
      <c r="I124" s="273" t="s">
        <v>260</v>
      </c>
      <c r="J124" s="273"/>
      <c r="K124" s="273"/>
      <c r="L124" s="249" t="s">
        <v>179</v>
      </c>
      <c r="M124" s="249"/>
      <c r="N124" s="249"/>
      <c r="O124" s="275" t="s">
        <v>180</v>
      </c>
      <c r="P124" s="275"/>
      <c r="Q124" s="274" t="s">
        <v>811</v>
      </c>
      <c r="R124" s="274"/>
      <c r="S124" s="274"/>
      <c r="T124" s="274"/>
      <c r="U124" s="274"/>
    </row>
    <row r="125" spans="1:21" s="248" customFormat="1" ht="24.75" customHeight="1" hidden="1" outlineLevel="1">
      <c r="A125" s="243" t="s">
        <v>180</v>
      </c>
      <c r="B125" s="275" t="s">
        <v>665</v>
      </c>
      <c r="C125" s="275"/>
      <c r="D125" s="275"/>
      <c r="E125" s="273" t="s">
        <v>179</v>
      </c>
      <c r="F125" s="273"/>
      <c r="G125" s="273" t="s">
        <v>18</v>
      </c>
      <c r="H125" s="273"/>
      <c r="I125" s="273" t="s">
        <v>179</v>
      </c>
      <c r="J125" s="273"/>
      <c r="K125" s="273"/>
      <c r="L125" s="249" t="s">
        <v>179</v>
      </c>
      <c r="M125" s="249"/>
      <c r="N125" s="249"/>
      <c r="O125" s="275" t="s">
        <v>180</v>
      </c>
      <c r="P125" s="275"/>
      <c r="Q125" s="274" t="s">
        <v>812</v>
      </c>
      <c r="R125" s="274"/>
      <c r="S125" s="274"/>
      <c r="T125" s="274"/>
      <c r="U125" s="274"/>
    </row>
    <row r="126" spans="1:21" s="248" customFormat="1" ht="24.75" customHeight="1" hidden="1" outlineLevel="1">
      <c r="A126" s="243" t="s">
        <v>180</v>
      </c>
      <c r="B126" s="275" t="s">
        <v>680</v>
      </c>
      <c r="C126" s="275"/>
      <c r="D126" s="275"/>
      <c r="E126" s="273" t="s">
        <v>179</v>
      </c>
      <c r="F126" s="273"/>
      <c r="G126" s="273" t="s">
        <v>798</v>
      </c>
      <c r="H126" s="273"/>
      <c r="I126" s="273" t="s">
        <v>798</v>
      </c>
      <c r="J126" s="273"/>
      <c r="K126" s="273"/>
      <c r="L126" s="249" t="s">
        <v>179</v>
      </c>
      <c r="M126" s="249"/>
      <c r="N126" s="249"/>
      <c r="O126" s="275" t="s">
        <v>180</v>
      </c>
      <c r="P126" s="275"/>
      <c r="Q126" s="274" t="s">
        <v>813</v>
      </c>
      <c r="R126" s="274"/>
      <c r="S126" s="274"/>
      <c r="T126" s="274"/>
      <c r="U126" s="274"/>
    </row>
    <row r="127" spans="1:21" s="248" customFormat="1" ht="24.75" customHeight="1" hidden="1" outlineLevel="1">
      <c r="A127" s="243" t="s">
        <v>180</v>
      </c>
      <c r="B127" s="275" t="s">
        <v>680</v>
      </c>
      <c r="C127" s="275"/>
      <c r="D127" s="275"/>
      <c r="E127" s="273" t="s">
        <v>179</v>
      </c>
      <c r="F127" s="273"/>
      <c r="G127" s="273" t="s">
        <v>773</v>
      </c>
      <c r="H127" s="273"/>
      <c r="I127" s="273" t="s">
        <v>773</v>
      </c>
      <c r="J127" s="273"/>
      <c r="K127" s="273"/>
      <c r="L127" s="249" t="s">
        <v>179</v>
      </c>
      <c r="M127" s="249"/>
      <c r="N127" s="249"/>
      <c r="O127" s="275" t="s">
        <v>180</v>
      </c>
      <c r="P127" s="275"/>
      <c r="Q127" s="274" t="s">
        <v>814</v>
      </c>
      <c r="R127" s="274"/>
      <c r="S127" s="274"/>
      <c r="T127" s="274"/>
      <c r="U127" s="274"/>
    </row>
    <row r="128" spans="1:21" s="248" customFormat="1" ht="24.75" customHeight="1" hidden="1" outlineLevel="1">
      <c r="A128" s="243" t="s">
        <v>180</v>
      </c>
      <c r="B128" s="275" t="s">
        <v>687</v>
      </c>
      <c r="C128" s="275"/>
      <c r="D128" s="275"/>
      <c r="E128" s="273" t="s">
        <v>179</v>
      </c>
      <c r="F128" s="273"/>
      <c r="G128" s="273" t="s">
        <v>798</v>
      </c>
      <c r="H128" s="273"/>
      <c r="I128" s="273" t="s">
        <v>798</v>
      </c>
      <c r="J128" s="273"/>
      <c r="K128" s="273"/>
      <c r="L128" s="249" t="s">
        <v>179</v>
      </c>
      <c r="M128" s="249"/>
      <c r="N128" s="249"/>
      <c r="O128" s="275" t="s">
        <v>180</v>
      </c>
      <c r="P128" s="275"/>
      <c r="Q128" s="274" t="s">
        <v>815</v>
      </c>
      <c r="R128" s="274"/>
      <c r="S128" s="274"/>
      <c r="T128" s="274"/>
      <c r="U128" s="274"/>
    </row>
    <row r="129" spans="1:21" s="248" customFormat="1" ht="24.75" customHeight="1" hidden="1" outlineLevel="1">
      <c r="A129" s="243" t="s">
        <v>180</v>
      </c>
      <c r="B129" s="275" t="s">
        <v>665</v>
      </c>
      <c r="C129" s="275"/>
      <c r="D129" s="275"/>
      <c r="E129" s="273" t="s">
        <v>179</v>
      </c>
      <c r="F129" s="273"/>
      <c r="G129" s="273" t="s">
        <v>771</v>
      </c>
      <c r="H129" s="273"/>
      <c r="I129" s="273" t="s">
        <v>771</v>
      </c>
      <c r="J129" s="273"/>
      <c r="K129" s="273"/>
      <c r="L129" s="249" t="s">
        <v>179</v>
      </c>
      <c r="M129" s="249"/>
      <c r="N129" s="249"/>
      <c r="O129" s="275" t="s">
        <v>180</v>
      </c>
      <c r="P129" s="275"/>
      <c r="Q129" s="274" t="s">
        <v>816</v>
      </c>
      <c r="R129" s="274"/>
      <c r="S129" s="274"/>
      <c r="T129" s="274"/>
      <c r="U129" s="274"/>
    </row>
    <row r="130" spans="1:21" s="248" customFormat="1" ht="24.75" customHeight="1" hidden="1" outlineLevel="1">
      <c r="A130" s="243" t="s">
        <v>180</v>
      </c>
      <c r="B130" s="275" t="s">
        <v>665</v>
      </c>
      <c r="C130" s="275"/>
      <c r="D130" s="275"/>
      <c r="E130" s="273" t="s">
        <v>179</v>
      </c>
      <c r="F130" s="273"/>
      <c r="G130" s="273" t="s">
        <v>138</v>
      </c>
      <c r="H130" s="273"/>
      <c r="I130" s="273" t="s">
        <v>179</v>
      </c>
      <c r="J130" s="273"/>
      <c r="K130" s="273"/>
      <c r="L130" s="249" t="s">
        <v>179</v>
      </c>
      <c r="M130" s="249"/>
      <c r="N130" s="249"/>
      <c r="O130" s="275" t="s">
        <v>180</v>
      </c>
      <c r="P130" s="275"/>
      <c r="Q130" s="274" t="s">
        <v>817</v>
      </c>
      <c r="R130" s="274"/>
      <c r="S130" s="274"/>
      <c r="T130" s="274"/>
      <c r="U130" s="274"/>
    </row>
    <row r="131" spans="1:21" s="248" customFormat="1" ht="24.75" customHeight="1" hidden="1" outlineLevel="1">
      <c r="A131" s="243" t="s">
        <v>180</v>
      </c>
      <c r="B131" s="275" t="s">
        <v>665</v>
      </c>
      <c r="C131" s="275"/>
      <c r="D131" s="275"/>
      <c r="E131" s="273" t="s">
        <v>179</v>
      </c>
      <c r="F131" s="273"/>
      <c r="G131" s="273" t="s">
        <v>196</v>
      </c>
      <c r="H131" s="273"/>
      <c r="I131" s="273" t="s">
        <v>179</v>
      </c>
      <c r="J131" s="273"/>
      <c r="K131" s="273"/>
      <c r="L131" s="249" t="s">
        <v>179</v>
      </c>
      <c r="M131" s="249"/>
      <c r="N131" s="249"/>
      <c r="O131" s="275" t="s">
        <v>180</v>
      </c>
      <c r="P131" s="275"/>
      <c r="Q131" s="274" t="s">
        <v>818</v>
      </c>
      <c r="R131" s="274"/>
      <c r="S131" s="274"/>
      <c r="T131" s="274"/>
      <c r="U131" s="274"/>
    </row>
    <row r="132" spans="1:21" s="248" customFormat="1" ht="24.75" customHeight="1" hidden="1" outlineLevel="1">
      <c r="A132" s="243" t="s">
        <v>180</v>
      </c>
      <c r="B132" s="275" t="s">
        <v>665</v>
      </c>
      <c r="C132" s="275"/>
      <c r="D132" s="275"/>
      <c r="E132" s="273" t="s">
        <v>179</v>
      </c>
      <c r="F132" s="273"/>
      <c r="G132" s="273" t="s">
        <v>798</v>
      </c>
      <c r="H132" s="273"/>
      <c r="I132" s="273" t="s">
        <v>798</v>
      </c>
      <c r="J132" s="273"/>
      <c r="K132" s="273"/>
      <c r="L132" s="249" t="s">
        <v>179</v>
      </c>
      <c r="M132" s="249"/>
      <c r="N132" s="249"/>
      <c r="O132" s="275" t="s">
        <v>180</v>
      </c>
      <c r="P132" s="275"/>
      <c r="Q132" s="274" t="s">
        <v>819</v>
      </c>
      <c r="R132" s="274"/>
      <c r="S132" s="274"/>
      <c r="T132" s="274"/>
      <c r="U132" s="274"/>
    </row>
    <row r="133" spans="1:21" s="248" customFormat="1" ht="24.75" customHeight="1" hidden="1" outlineLevel="1">
      <c r="A133" s="243" t="s">
        <v>180</v>
      </c>
      <c r="B133" s="275" t="s">
        <v>680</v>
      </c>
      <c r="C133" s="275"/>
      <c r="D133" s="275"/>
      <c r="E133" s="273" t="s">
        <v>179</v>
      </c>
      <c r="F133" s="273"/>
      <c r="G133" s="273" t="s">
        <v>260</v>
      </c>
      <c r="H133" s="273"/>
      <c r="I133" s="273" t="s">
        <v>260</v>
      </c>
      <c r="J133" s="273"/>
      <c r="K133" s="273"/>
      <c r="L133" s="249" t="s">
        <v>179</v>
      </c>
      <c r="M133" s="249"/>
      <c r="N133" s="249"/>
      <c r="O133" s="275" t="s">
        <v>180</v>
      </c>
      <c r="P133" s="275"/>
      <c r="Q133" s="274" t="s">
        <v>820</v>
      </c>
      <c r="R133" s="274"/>
      <c r="S133" s="274"/>
      <c r="T133" s="274"/>
      <c r="U133" s="274"/>
    </row>
    <row r="134" spans="1:21" s="248" customFormat="1" ht="24.75" customHeight="1" hidden="1" outlineLevel="1">
      <c r="A134" s="243" t="s">
        <v>180</v>
      </c>
      <c r="B134" s="275" t="s">
        <v>667</v>
      </c>
      <c r="C134" s="275"/>
      <c r="D134" s="275"/>
      <c r="E134" s="273" t="s">
        <v>179</v>
      </c>
      <c r="F134" s="273"/>
      <c r="G134" s="273" t="s">
        <v>260</v>
      </c>
      <c r="H134" s="273"/>
      <c r="I134" s="273" t="s">
        <v>260</v>
      </c>
      <c r="J134" s="273"/>
      <c r="K134" s="273"/>
      <c r="L134" s="249" t="s">
        <v>179</v>
      </c>
      <c r="M134" s="249"/>
      <c r="N134" s="249"/>
      <c r="O134" s="275" t="s">
        <v>180</v>
      </c>
      <c r="P134" s="275"/>
      <c r="Q134" s="274" t="s">
        <v>821</v>
      </c>
      <c r="R134" s="274"/>
      <c r="S134" s="274"/>
      <c r="T134" s="274"/>
      <c r="U134" s="274"/>
    </row>
    <row r="135" spans="1:21" s="248" customFormat="1" ht="24.75" customHeight="1" hidden="1" outlineLevel="1">
      <c r="A135" s="243" t="s">
        <v>180</v>
      </c>
      <c r="B135" s="275" t="s">
        <v>669</v>
      </c>
      <c r="C135" s="275"/>
      <c r="D135" s="275"/>
      <c r="E135" s="273" t="s">
        <v>179</v>
      </c>
      <c r="F135" s="273"/>
      <c r="G135" s="273" t="s">
        <v>822</v>
      </c>
      <c r="H135" s="273"/>
      <c r="I135" s="273" t="s">
        <v>822</v>
      </c>
      <c r="J135" s="273"/>
      <c r="K135" s="273"/>
      <c r="L135" s="249" t="s">
        <v>179</v>
      </c>
      <c r="M135" s="249"/>
      <c r="N135" s="249"/>
      <c r="O135" s="275" t="s">
        <v>180</v>
      </c>
      <c r="P135" s="275"/>
      <c r="Q135" s="274" t="s">
        <v>823</v>
      </c>
      <c r="R135" s="274"/>
      <c r="S135" s="274"/>
      <c r="T135" s="274"/>
      <c r="U135" s="274"/>
    </row>
    <row r="136" spans="1:21" s="248" customFormat="1" ht="24.75" customHeight="1" hidden="1" outlineLevel="1">
      <c r="A136" s="243" t="s">
        <v>180</v>
      </c>
      <c r="B136" s="275" t="s">
        <v>667</v>
      </c>
      <c r="C136" s="275"/>
      <c r="D136" s="275"/>
      <c r="E136" s="273" t="s">
        <v>179</v>
      </c>
      <c r="F136" s="273"/>
      <c r="G136" s="273" t="s">
        <v>771</v>
      </c>
      <c r="H136" s="273"/>
      <c r="I136" s="273" t="s">
        <v>771</v>
      </c>
      <c r="J136" s="273"/>
      <c r="K136" s="273"/>
      <c r="L136" s="249" t="s">
        <v>179</v>
      </c>
      <c r="M136" s="249"/>
      <c r="N136" s="249"/>
      <c r="O136" s="275" t="s">
        <v>180</v>
      </c>
      <c r="P136" s="275"/>
      <c r="Q136" s="274" t="s">
        <v>824</v>
      </c>
      <c r="R136" s="274"/>
      <c r="S136" s="274"/>
      <c r="T136" s="274"/>
      <c r="U136" s="274"/>
    </row>
    <row r="137" spans="1:21" s="248" customFormat="1" ht="24.75" customHeight="1" hidden="1" outlineLevel="1">
      <c r="A137" s="243" t="s">
        <v>180</v>
      </c>
      <c r="B137" s="275" t="s">
        <v>825</v>
      </c>
      <c r="C137" s="275"/>
      <c r="D137" s="275"/>
      <c r="E137" s="273" t="s">
        <v>179</v>
      </c>
      <c r="F137" s="273"/>
      <c r="G137" s="273" t="s">
        <v>773</v>
      </c>
      <c r="H137" s="273"/>
      <c r="I137" s="273" t="s">
        <v>179</v>
      </c>
      <c r="J137" s="273"/>
      <c r="K137" s="273"/>
      <c r="L137" s="249" t="s">
        <v>179</v>
      </c>
      <c r="M137" s="249"/>
      <c r="N137" s="249"/>
      <c r="O137" s="275" t="s">
        <v>180</v>
      </c>
      <c r="P137" s="275"/>
      <c r="Q137" s="274" t="s">
        <v>826</v>
      </c>
      <c r="R137" s="274"/>
      <c r="S137" s="274"/>
      <c r="T137" s="274"/>
      <c r="U137" s="274"/>
    </row>
    <row r="138" spans="1:21" s="248" customFormat="1" ht="24.75" customHeight="1" hidden="1" outlineLevel="1">
      <c r="A138" s="243" t="s">
        <v>180</v>
      </c>
      <c r="B138" s="275" t="s">
        <v>665</v>
      </c>
      <c r="C138" s="275"/>
      <c r="D138" s="275"/>
      <c r="E138" s="273" t="s">
        <v>179</v>
      </c>
      <c r="F138" s="273"/>
      <c r="G138" s="273" t="s">
        <v>771</v>
      </c>
      <c r="H138" s="273"/>
      <c r="I138" s="273" t="s">
        <v>771</v>
      </c>
      <c r="J138" s="273"/>
      <c r="K138" s="273"/>
      <c r="L138" s="249" t="s">
        <v>179</v>
      </c>
      <c r="M138" s="249"/>
      <c r="N138" s="249"/>
      <c r="O138" s="275" t="s">
        <v>180</v>
      </c>
      <c r="P138" s="275"/>
      <c r="Q138" s="274" t="s">
        <v>827</v>
      </c>
      <c r="R138" s="274"/>
      <c r="S138" s="274"/>
      <c r="T138" s="274"/>
      <c r="U138" s="274"/>
    </row>
    <row r="139" spans="1:21" s="248" customFormat="1" ht="24.75" customHeight="1" hidden="1" outlineLevel="1">
      <c r="A139" s="243" t="s">
        <v>180</v>
      </c>
      <c r="B139" s="275" t="s">
        <v>667</v>
      </c>
      <c r="C139" s="275"/>
      <c r="D139" s="275"/>
      <c r="E139" s="273" t="s">
        <v>179</v>
      </c>
      <c r="F139" s="273"/>
      <c r="G139" s="273" t="s">
        <v>18</v>
      </c>
      <c r="H139" s="273"/>
      <c r="I139" s="273" t="s">
        <v>179</v>
      </c>
      <c r="J139" s="273"/>
      <c r="K139" s="273"/>
      <c r="L139" s="249" t="s">
        <v>179</v>
      </c>
      <c r="M139" s="249"/>
      <c r="N139" s="249"/>
      <c r="O139" s="275" t="s">
        <v>180</v>
      </c>
      <c r="P139" s="275"/>
      <c r="Q139" s="274" t="s">
        <v>828</v>
      </c>
      <c r="R139" s="274"/>
      <c r="S139" s="274"/>
      <c r="T139" s="274"/>
      <c r="U139" s="274"/>
    </row>
    <row r="140" spans="1:21" s="248" customFormat="1" ht="24.75" customHeight="1" hidden="1" outlineLevel="1">
      <c r="A140" s="243" t="s">
        <v>180</v>
      </c>
      <c r="B140" s="275" t="s">
        <v>34</v>
      </c>
      <c r="C140" s="275"/>
      <c r="D140" s="275"/>
      <c r="E140" s="273" t="s">
        <v>179</v>
      </c>
      <c r="F140" s="273"/>
      <c r="G140" s="273" t="s">
        <v>798</v>
      </c>
      <c r="H140" s="273"/>
      <c r="I140" s="273" t="s">
        <v>798</v>
      </c>
      <c r="J140" s="273"/>
      <c r="K140" s="273"/>
      <c r="L140" s="249" t="s">
        <v>179</v>
      </c>
      <c r="M140" s="249"/>
      <c r="N140" s="249"/>
      <c r="O140" s="275" t="s">
        <v>180</v>
      </c>
      <c r="P140" s="275"/>
      <c r="Q140" s="274" t="s">
        <v>829</v>
      </c>
      <c r="R140" s="274"/>
      <c r="S140" s="274"/>
      <c r="T140" s="274"/>
      <c r="U140" s="274"/>
    </row>
    <row r="141" spans="1:21" s="248" customFormat="1" ht="24.75" customHeight="1" hidden="1" outlineLevel="1">
      <c r="A141" s="243" t="s">
        <v>180</v>
      </c>
      <c r="B141" s="275" t="s">
        <v>669</v>
      </c>
      <c r="C141" s="275"/>
      <c r="D141" s="275"/>
      <c r="E141" s="273" t="s">
        <v>179</v>
      </c>
      <c r="F141" s="273"/>
      <c r="G141" s="273" t="s">
        <v>138</v>
      </c>
      <c r="H141" s="273"/>
      <c r="I141" s="273" t="s">
        <v>138</v>
      </c>
      <c r="J141" s="273"/>
      <c r="K141" s="273"/>
      <c r="L141" s="249" t="s">
        <v>179</v>
      </c>
      <c r="M141" s="249"/>
      <c r="N141" s="249"/>
      <c r="O141" s="275" t="s">
        <v>180</v>
      </c>
      <c r="P141" s="275"/>
      <c r="Q141" s="274" t="s">
        <v>830</v>
      </c>
      <c r="R141" s="274"/>
      <c r="S141" s="274"/>
      <c r="T141" s="274"/>
      <c r="U141" s="274"/>
    </row>
    <row r="142" spans="1:21" s="248" customFormat="1" ht="24.75" customHeight="1" hidden="1" outlineLevel="1">
      <c r="A142" s="243" t="s">
        <v>180</v>
      </c>
      <c r="B142" s="275" t="s">
        <v>680</v>
      </c>
      <c r="C142" s="275"/>
      <c r="D142" s="275"/>
      <c r="E142" s="273" t="s">
        <v>179</v>
      </c>
      <c r="F142" s="273"/>
      <c r="G142" s="273" t="s">
        <v>773</v>
      </c>
      <c r="H142" s="273"/>
      <c r="I142" s="273" t="s">
        <v>773</v>
      </c>
      <c r="J142" s="273"/>
      <c r="K142" s="273"/>
      <c r="L142" s="249" t="s">
        <v>179</v>
      </c>
      <c r="M142" s="249"/>
      <c r="N142" s="249"/>
      <c r="O142" s="275" t="s">
        <v>180</v>
      </c>
      <c r="P142" s="275"/>
      <c r="Q142" s="274" t="s">
        <v>831</v>
      </c>
      <c r="R142" s="274"/>
      <c r="S142" s="274"/>
      <c r="T142" s="274"/>
      <c r="U142" s="274"/>
    </row>
    <row r="143" spans="1:21" s="248" customFormat="1" ht="24.75" customHeight="1" hidden="1" outlineLevel="1">
      <c r="A143" s="243" t="s">
        <v>180</v>
      </c>
      <c r="B143" s="275" t="s">
        <v>687</v>
      </c>
      <c r="C143" s="275"/>
      <c r="D143" s="275"/>
      <c r="E143" s="273" t="s">
        <v>179</v>
      </c>
      <c r="F143" s="273"/>
      <c r="G143" s="273" t="s">
        <v>705</v>
      </c>
      <c r="H143" s="273"/>
      <c r="I143" s="273" t="s">
        <v>798</v>
      </c>
      <c r="J143" s="273"/>
      <c r="K143" s="273"/>
      <c r="L143" s="249" t="s">
        <v>179</v>
      </c>
      <c r="M143" s="249"/>
      <c r="N143" s="249"/>
      <c r="O143" s="275" t="s">
        <v>180</v>
      </c>
      <c r="P143" s="275"/>
      <c r="Q143" s="274" t="s">
        <v>799</v>
      </c>
      <c r="R143" s="274"/>
      <c r="S143" s="274"/>
      <c r="T143" s="274"/>
      <c r="U143" s="274"/>
    </row>
    <row r="144" spans="1:21" s="248" customFormat="1" ht="24.75" customHeight="1" hidden="1" outlineLevel="1">
      <c r="A144" s="243" t="s">
        <v>180</v>
      </c>
      <c r="B144" s="275" t="s">
        <v>680</v>
      </c>
      <c r="C144" s="275"/>
      <c r="D144" s="275"/>
      <c r="E144" s="273" t="s">
        <v>179</v>
      </c>
      <c r="F144" s="273"/>
      <c r="G144" s="273" t="s">
        <v>196</v>
      </c>
      <c r="H144" s="273"/>
      <c r="I144" s="273" t="s">
        <v>196</v>
      </c>
      <c r="J144" s="273"/>
      <c r="K144" s="273"/>
      <c r="L144" s="249" t="s">
        <v>179</v>
      </c>
      <c r="M144" s="249"/>
      <c r="N144" s="249"/>
      <c r="O144" s="275" t="s">
        <v>180</v>
      </c>
      <c r="P144" s="275"/>
      <c r="Q144" s="274" t="s">
        <v>832</v>
      </c>
      <c r="R144" s="274"/>
      <c r="S144" s="274"/>
      <c r="T144" s="274"/>
      <c r="U144" s="274"/>
    </row>
    <row r="145" spans="1:21" s="248" customFormat="1" ht="24.75" customHeight="1" hidden="1" outlineLevel="1">
      <c r="A145" s="243" t="s">
        <v>180</v>
      </c>
      <c r="B145" s="275" t="s">
        <v>680</v>
      </c>
      <c r="C145" s="275"/>
      <c r="D145" s="275"/>
      <c r="E145" s="273" t="s">
        <v>179</v>
      </c>
      <c r="F145" s="273"/>
      <c r="G145" s="273" t="s">
        <v>196</v>
      </c>
      <c r="H145" s="273"/>
      <c r="I145" s="273" t="s">
        <v>196</v>
      </c>
      <c r="J145" s="273"/>
      <c r="K145" s="273"/>
      <c r="L145" s="249" t="s">
        <v>179</v>
      </c>
      <c r="M145" s="249"/>
      <c r="N145" s="249"/>
      <c r="O145" s="275" t="s">
        <v>180</v>
      </c>
      <c r="P145" s="275"/>
      <c r="Q145" s="274" t="s">
        <v>833</v>
      </c>
      <c r="R145" s="274"/>
      <c r="S145" s="274"/>
      <c r="T145" s="274"/>
      <c r="U145" s="274"/>
    </row>
    <row r="146" spans="1:21" s="248" customFormat="1" ht="24.75" customHeight="1" hidden="1" outlineLevel="1">
      <c r="A146" s="243" t="s">
        <v>180</v>
      </c>
      <c r="B146" s="275" t="s">
        <v>665</v>
      </c>
      <c r="C146" s="275"/>
      <c r="D146" s="275"/>
      <c r="E146" s="273" t="s">
        <v>179</v>
      </c>
      <c r="F146" s="273"/>
      <c r="G146" s="273" t="s">
        <v>773</v>
      </c>
      <c r="H146" s="273"/>
      <c r="I146" s="273" t="s">
        <v>773</v>
      </c>
      <c r="J146" s="273"/>
      <c r="K146" s="273"/>
      <c r="L146" s="249" t="s">
        <v>179</v>
      </c>
      <c r="M146" s="249"/>
      <c r="N146" s="249"/>
      <c r="O146" s="275" t="s">
        <v>180</v>
      </c>
      <c r="P146" s="275"/>
      <c r="Q146" s="274" t="s">
        <v>834</v>
      </c>
      <c r="R146" s="274"/>
      <c r="S146" s="274"/>
      <c r="T146" s="274"/>
      <c r="U146" s="274"/>
    </row>
    <row r="147" spans="1:21" s="248" customFormat="1" ht="24.75" customHeight="1" hidden="1" outlineLevel="1">
      <c r="A147" s="243" t="s">
        <v>180</v>
      </c>
      <c r="B147" s="275" t="s">
        <v>680</v>
      </c>
      <c r="C147" s="275"/>
      <c r="D147" s="275"/>
      <c r="E147" s="273" t="s">
        <v>179</v>
      </c>
      <c r="F147" s="273"/>
      <c r="G147" s="273" t="s">
        <v>798</v>
      </c>
      <c r="H147" s="273"/>
      <c r="I147" s="273" t="s">
        <v>798</v>
      </c>
      <c r="J147" s="273"/>
      <c r="K147" s="273"/>
      <c r="L147" s="249" t="s">
        <v>179</v>
      </c>
      <c r="M147" s="249"/>
      <c r="N147" s="249"/>
      <c r="O147" s="275" t="s">
        <v>180</v>
      </c>
      <c r="P147" s="275"/>
      <c r="Q147" s="274" t="s">
        <v>835</v>
      </c>
      <c r="R147" s="274"/>
      <c r="S147" s="274"/>
      <c r="T147" s="274"/>
      <c r="U147" s="274"/>
    </row>
    <row r="148" spans="1:21" s="248" customFormat="1" ht="24.75" customHeight="1" hidden="1" outlineLevel="1">
      <c r="A148" s="243" t="s">
        <v>180</v>
      </c>
      <c r="B148" s="275" t="s">
        <v>665</v>
      </c>
      <c r="C148" s="275"/>
      <c r="D148" s="275"/>
      <c r="E148" s="273" t="s">
        <v>179</v>
      </c>
      <c r="F148" s="273"/>
      <c r="G148" s="273" t="s">
        <v>773</v>
      </c>
      <c r="H148" s="273"/>
      <c r="I148" s="273" t="s">
        <v>773</v>
      </c>
      <c r="J148" s="273"/>
      <c r="K148" s="273"/>
      <c r="L148" s="249" t="s">
        <v>179</v>
      </c>
      <c r="M148" s="249"/>
      <c r="N148" s="249"/>
      <c r="O148" s="275" t="s">
        <v>180</v>
      </c>
      <c r="P148" s="275"/>
      <c r="Q148" s="274" t="s">
        <v>836</v>
      </c>
      <c r="R148" s="274"/>
      <c r="S148" s="274"/>
      <c r="T148" s="274"/>
      <c r="U148" s="274"/>
    </row>
    <row r="149" spans="1:21" s="248" customFormat="1" ht="24.75" customHeight="1" hidden="1" outlineLevel="1">
      <c r="A149" s="243" t="s">
        <v>180</v>
      </c>
      <c r="B149" s="275" t="s">
        <v>36</v>
      </c>
      <c r="C149" s="275"/>
      <c r="D149" s="275"/>
      <c r="E149" s="273" t="s">
        <v>179</v>
      </c>
      <c r="F149" s="273"/>
      <c r="G149" s="273" t="s">
        <v>773</v>
      </c>
      <c r="H149" s="273"/>
      <c r="I149" s="273" t="s">
        <v>773</v>
      </c>
      <c r="J149" s="273"/>
      <c r="K149" s="273"/>
      <c r="L149" s="249" t="s">
        <v>179</v>
      </c>
      <c r="M149" s="249"/>
      <c r="N149" s="249"/>
      <c r="O149" s="275" t="s">
        <v>180</v>
      </c>
      <c r="P149" s="275"/>
      <c r="Q149" s="274" t="s">
        <v>837</v>
      </c>
      <c r="R149" s="274"/>
      <c r="S149" s="274"/>
      <c r="T149" s="274"/>
      <c r="U149" s="274"/>
    </row>
    <row r="150" spans="1:21" s="248" customFormat="1" ht="24.75" customHeight="1" hidden="1" outlineLevel="1">
      <c r="A150" s="243" t="s">
        <v>180</v>
      </c>
      <c r="B150" s="275" t="s">
        <v>680</v>
      </c>
      <c r="C150" s="275"/>
      <c r="D150" s="275"/>
      <c r="E150" s="273" t="s">
        <v>179</v>
      </c>
      <c r="F150" s="273"/>
      <c r="G150" s="273" t="s">
        <v>773</v>
      </c>
      <c r="H150" s="273"/>
      <c r="I150" s="273" t="s">
        <v>773</v>
      </c>
      <c r="J150" s="273"/>
      <c r="K150" s="273"/>
      <c r="L150" s="249" t="s">
        <v>179</v>
      </c>
      <c r="M150" s="249"/>
      <c r="N150" s="249"/>
      <c r="O150" s="275" t="s">
        <v>180</v>
      </c>
      <c r="P150" s="275"/>
      <c r="Q150" s="274" t="s">
        <v>838</v>
      </c>
      <c r="R150" s="274"/>
      <c r="S150" s="274"/>
      <c r="T150" s="274"/>
      <c r="U150" s="274"/>
    </row>
    <row r="151" spans="1:21" s="248" customFormat="1" ht="24.75" customHeight="1" hidden="1" outlineLevel="1">
      <c r="A151" s="243" t="s">
        <v>180</v>
      </c>
      <c r="B151" s="275" t="s">
        <v>680</v>
      </c>
      <c r="C151" s="275"/>
      <c r="D151" s="275"/>
      <c r="E151" s="273" t="s">
        <v>179</v>
      </c>
      <c r="F151" s="273"/>
      <c r="G151" s="273" t="s">
        <v>773</v>
      </c>
      <c r="H151" s="273"/>
      <c r="I151" s="273" t="s">
        <v>773</v>
      </c>
      <c r="J151" s="273"/>
      <c r="K151" s="273"/>
      <c r="L151" s="249" t="s">
        <v>179</v>
      </c>
      <c r="M151" s="249"/>
      <c r="N151" s="249"/>
      <c r="O151" s="275" t="s">
        <v>180</v>
      </c>
      <c r="P151" s="275"/>
      <c r="Q151" s="274" t="s">
        <v>839</v>
      </c>
      <c r="R151" s="274"/>
      <c r="S151" s="274"/>
      <c r="T151" s="274"/>
      <c r="U151" s="274"/>
    </row>
    <row r="152" spans="1:21" s="248" customFormat="1" ht="24.75" customHeight="1" hidden="1" outlineLevel="1">
      <c r="A152" s="243" t="s">
        <v>180</v>
      </c>
      <c r="B152" s="275" t="s">
        <v>665</v>
      </c>
      <c r="C152" s="275"/>
      <c r="D152" s="275"/>
      <c r="E152" s="273" t="s">
        <v>179</v>
      </c>
      <c r="F152" s="273"/>
      <c r="G152" s="273" t="s">
        <v>773</v>
      </c>
      <c r="H152" s="273"/>
      <c r="I152" s="273" t="s">
        <v>773</v>
      </c>
      <c r="J152" s="273"/>
      <c r="K152" s="273"/>
      <c r="L152" s="249" t="s">
        <v>179</v>
      </c>
      <c r="M152" s="249"/>
      <c r="N152" s="249"/>
      <c r="O152" s="275" t="s">
        <v>180</v>
      </c>
      <c r="P152" s="275"/>
      <c r="Q152" s="274" t="s">
        <v>840</v>
      </c>
      <c r="R152" s="274"/>
      <c r="S152" s="274"/>
      <c r="T152" s="274"/>
      <c r="U152" s="274"/>
    </row>
    <row r="153" spans="1:21" s="248" customFormat="1" ht="24.75" customHeight="1" hidden="1" outlineLevel="1">
      <c r="A153" s="243" t="s">
        <v>180</v>
      </c>
      <c r="B153" s="275" t="s">
        <v>665</v>
      </c>
      <c r="C153" s="275"/>
      <c r="D153" s="275"/>
      <c r="E153" s="273" t="s">
        <v>179</v>
      </c>
      <c r="F153" s="273"/>
      <c r="G153" s="273" t="s">
        <v>773</v>
      </c>
      <c r="H153" s="273"/>
      <c r="I153" s="273" t="s">
        <v>773</v>
      </c>
      <c r="J153" s="273"/>
      <c r="K153" s="273"/>
      <c r="L153" s="249" t="s">
        <v>179</v>
      </c>
      <c r="M153" s="249"/>
      <c r="N153" s="249"/>
      <c r="O153" s="275" t="s">
        <v>180</v>
      </c>
      <c r="P153" s="275"/>
      <c r="Q153" s="274" t="s">
        <v>841</v>
      </c>
      <c r="R153" s="274"/>
      <c r="S153" s="274"/>
      <c r="T153" s="274"/>
      <c r="U153" s="274"/>
    </row>
    <row r="154" spans="1:21" s="248" customFormat="1" ht="24.75" customHeight="1" hidden="1" outlineLevel="1">
      <c r="A154" s="243" t="s">
        <v>180</v>
      </c>
      <c r="B154" s="275" t="s">
        <v>667</v>
      </c>
      <c r="C154" s="275"/>
      <c r="D154" s="275"/>
      <c r="E154" s="273" t="s">
        <v>179</v>
      </c>
      <c r="F154" s="273"/>
      <c r="G154" s="273" t="s">
        <v>260</v>
      </c>
      <c r="H154" s="273"/>
      <c r="I154" s="273" t="s">
        <v>260</v>
      </c>
      <c r="J154" s="273"/>
      <c r="K154" s="273"/>
      <c r="L154" s="249" t="s">
        <v>179</v>
      </c>
      <c r="M154" s="249"/>
      <c r="N154" s="249"/>
      <c r="O154" s="275" t="s">
        <v>180</v>
      </c>
      <c r="P154" s="275"/>
      <c r="Q154" s="274" t="s">
        <v>842</v>
      </c>
      <c r="R154" s="274"/>
      <c r="S154" s="274"/>
      <c r="T154" s="274"/>
      <c r="U154" s="274"/>
    </row>
    <row r="155" spans="1:21" s="248" customFormat="1" ht="24.75" customHeight="1" hidden="1" outlineLevel="1">
      <c r="A155" s="243" t="s">
        <v>180</v>
      </c>
      <c r="B155" s="275" t="s">
        <v>680</v>
      </c>
      <c r="C155" s="275"/>
      <c r="D155" s="275"/>
      <c r="E155" s="273" t="s">
        <v>179</v>
      </c>
      <c r="F155" s="273"/>
      <c r="G155" s="273" t="s">
        <v>773</v>
      </c>
      <c r="H155" s="273"/>
      <c r="I155" s="273" t="s">
        <v>773</v>
      </c>
      <c r="J155" s="273"/>
      <c r="K155" s="273"/>
      <c r="L155" s="249" t="s">
        <v>179</v>
      </c>
      <c r="M155" s="249"/>
      <c r="N155" s="249"/>
      <c r="O155" s="275" t="s">
        <v>180</v>
      </c>
      <c r="P155" s="275"/>
      <c r="Q155" s="274" t="s">
        <v>843</v>
      </c>
      <c r="R155" s="274"/>
      <c r="S155" s="274"/>
      <c r="T155" s="274"/>
      <c r="U155" s="274"/>
    </row>
    <row r="156" spans="1:21" s="248" customFormat="1" ht="24.75" customHeight="1" hidden="1" outlineLevel="1">
      <c r="A156" s="243" t="s">
        <v>180</v>
      </c>
      <c r="B156" s="275" t="s">
        <v>34</v>
      </c>
      <c r="C156" s="275"/>
      <c r="D156" s="275"/>
      <c r="E156" s="273" t="s">
        <v>179</v>
      </c>
      <c r="F156" s="273"/>
      <c r="G156" s="273" t="s">
        <v>773</v>
      </c>
      <c r="H156" s="273"/>
      <c r="I156" s="273" t="s">
        <v>773</v>
      </c>
      <c r="J156" s="273"/>
      <c r="K156" s="273"/>
      <c r="L156" s="249" t="s">
        <v>179</v>
      </c>
      <c r="M156" s="249"/>
      <c r="N156" s="249"/>
      <c r="O156" s="275" t="s">
        <v>180</v>
      </c>
      <c r="P156" s="275"/>
      <c r="Q156" s="274" t="s">
        <v>844</v>
      </c>
      <c r="R156" s="274"/>
      <c r="S156" s="274"/>
      <c r="T156" s="274"/>
      <c r="U156" s="274"/>
    </row>
    <row r="157" spans="1:21" s="248" customFormat="1" ht="24.75" customHeight="1" hidden="1" outlineLevel="1">
      <c r="A157" s="243" t="s">
        <v>180</v>
      </c>
      <c r="B157" s="275" t="s">
        <v>665</v>
      </c>
      <c r="C157" s="275"/>
      <c r="D157" s="275"/>
      <c r="E157" s="273" t="s">
        <v>179</v>
      </c>
      <c r="F157" s="273"/>
      <c r="G157" s="273" t="s">
        <v>277</v>
      </c>
      <c r="H157" s="273"/>
      <c r="I157" s="273" t="s">
        <v>260</v>
      </c>
      <c r="J157" s="273"/>
      <c r="K157" s="273"/>
      <c r="L157" s="249" t="s">
        <v>179</v>
      </c>
      <c r="M157" s="249"/>
      <c r="N157" s="249"/>
      <c r="O157" s="275" t="s">
        <v>180</v>
      </c>
      <c r="P157" s="275"/>
      <c r="Q157" s="274" t="s">
        <v>845</v>
      </c>
      <c r="R157" s="274"/>
      <c r="S157" s="274"/>
      <c r="T157" s="274"/>
      <c r="U157" s="274"/>
    </row>
    <row r="158" spans="1:21" s="248" customFormat="1" ht="24.75" customHeight="1" hidden="1" outlineLevel="1">
      <c r="A158" s="243" t="s">
        <v>180</v>
      </c>
      <c r="B158" s="275" t="s">
        <v>680</v>
      </c>
      <c r="C158" s="275"/>
      <c r="D158" s="275"/>
      <c r="E158" s="273" t="s">
        <v>179</v>
      </c>
      <c r="F158" s="273"/>
      <c r="G158" s="273" t="s">
        <v>712</v>
      </c>
      <c r="H158" s="273"/>
      <c r="I158" s="273" t="s">
        <v>705</v>
      </c>
      <c r="J158" s="273"/>
      <c r="K158" s="273"/>
      <c r="L158" s="249" t="s">
        <v>179</v>
      </c>
      <c r="M158" s="249"/>
      <c r="N158" s="249"/>
      <c r="O158" s="275" t="s">
        <v>180</v>
      </c>
      <c r="P158" s="275"/>
      <c r="Q158" s="274" t="s">
        <v>846</v>
      </c>
      <c r="R158" s="274"/>
      <c r="S158" s="274"/>
      <c r="T158" s="274"/>
      <c r="U158" s="274"/>
    </row>
    <row r="159" spans="1:21" s="248" customFormat="1" ht="24.75" customHeight="1" hidden="1" outlineLevel="1">
      <c r="A159" s="243" t="s">
        <v>180</v>
      </c>
      <c r="B159" s="275" t="s">
        <v>665</v>
      </c>
      <c r="C159" s="275"/>
      <c r="D159" s="275"/>
      <c r="E159" s="273" t="s">
        <v>179</v>
      </c>
      <c r="F159" s="273"/>
      <c r="G159" s="273" t="s">
        <v>186</v>
      </c>
      <c r="H159" s="273"/>
      <c r="I159" s="273" t="s">
        <v>186</v>
      </c>
      <c r="J159" s="273"/>
      <c r="K159" s="273"/>
      <c r="L159" s="249" t="s">
        <v>179</v>
      </c>
      <c r="M159" s="249"/>
      <c r="N159" s="249"/>
      <c r="O159" s="275" t="s">
        <v>180</v>
      </c>
      <c r="P159" s="275"/>
      <c r="Q159" s="274" t="s">
        <v>847</v>
      </c>
      <c r="R159" s="274"/>
      <c r="S159" s="274"/>
      <c r="T159" s="274"/>
      <c r="U159" s="274"/>
    </row>
    <row r="160" spans="1:21" s="248" customFormat="1" ht="24.75" customHeight="1" hidden="1" outlineLevel="1">
      <c r="A160" s="243" t="s">
        <v>180</v>
      </c>
      <c r="B160" s="275" t="s">
        <v>665</v>
      </c>
      <c r="C160" s="275"/>
      <c r="D160" s="275"/>
      <c r="E160" s="273" t="s">
        <v>179</v>
      </c>
      <c r="F160" s="273"/>
      <c r="G160" s="273" t="s">
        <v>23</v>
      </c>
      <c r="H160" s="273"/>
      <c r="I160" s="273" t="s">
        <v>23</v>
      </c>
      <c r="J160" s="273"/>
      <c r="K160" s="273"/>
      <c r="L160" s="249" t="s">
        <v>179</v>
      </c>
      <c r="M160" s="249"/>
      <c r="N160" s="249"/>
      <c r="O160" s="275" t="s">
        <v>180</v>
      </c>
      <c r="P160" s="275"/>
      <c r="Q160" s="274" t="s">
        <v>848</v>
      </c>
      <c r="R160" s="274"/>
      <c r="S160" s="274"/>
      <c r="T160" s="274"/>
      <c r="U160" s="274"/>
    </row>
    <row r="161" spans="1:21" s="248" customFormat="1" ht="24.75" customHeight="1" hidden="1" outlineLevel="1">
      <c r="A161" s="243" t="s">
        <v>180</v>
      </c>
      <c r="B161" s="275" t="s">
        <v>665</v>
      </c>
      <c r="C161" s="275"/>
      <c r="D161" s="275"/>
      <c r="E161" s="273" t="s">
        <v>179</v>
      </c>
      <c r="F161" s="273"/>
      <c r="G161" s="273" t="s">
        <v>798</v>
      </c>
      <c r="H161" s="273"/>
      <c r="I161" s="273" t="s">
        <v>798</v>
      </c>
      <c r="J161" s="273"/>
      <c r="K161" s="273"/>
      <c r="L161" s="249" t="s">
        <v>179</v>
      </c>
      <c r="M161" s="249"/>
      <c r="N161" s="249"/>
      <c r="O161" s="275" t="s">
        <v>180</v>
      </c>
      <c r="P161" s="275"/>
      <c r="Q161" s="274" t="s">
        <v>849</v>
      </c>
      <c r="R161" s="274"/>
      <c r="S161" s="274"/>
      <c r="T161" s="274"/>
      <c r="U161" s="274"/>
    </row>
    <row r="162" spans="1:21" s="248" customFormat="1" ht="24.75" customHeight="1" hidden="1" outlineLevel="1">
      <c r="A162" s="243" t="s">
        <v>180</v>
      </c>
      <c r="B162" s="275" t="s">
        <v>36</v>
      </c>
      <c r="C162" s="275"/>
      <c r="D162" s="275"/>
      <c r="E162" s="273" t="s">
        <v>179</v>
      </c>
      <c r="F162" s="273"/>
      <c r="G162" s="273" t="s">
        <v>822</v>
      </c>
      <c r="H162" s="273"/>
      <c r="I162" s="273" t="s">
        <v>822</v>
      </c>
      <c r="J162" s="273"/>
      <c r="K162" s="273"/>
      <c r="L162" s="249" t="s">
        <v>179</v>
      </c>
      <c r="M162" s="249"/>
      <c r="N162" s="249"/>
      <c r="O162" s="275" t="s">
        <v>180</v>
      </c>
      <c r="P162" s="275"/>
      <c r="Q162" s="274" t="s">
        <v>850</v>
      </c>
      <c r="R162" s="274"/>
      <c r="S162" s="274"/>
      <c r="T162" s="274"/>
      <c r="U162" s="274"/>
    </row>
    <row r="163" spans="1:21" s="248" customFormat="1" ht="24.75" customHeight="1" hidden="1" outlineLevel="1">
      <c r="A163" s="243" t="s">
        <v>180</v>
      </c>
      <c r="B163" s="275" t="s">
        <v>36</v>
      </c>
      <c r="C163" s="275"/>
      <c r="D163" s="275"/>
      <c r="E163" s="273" t="s">
        <v>179</v>
      </c>
      <c r="F163" s="273"/>
      <c r="G163" s="273" t="s">
        <v>260</v>
      </c>
      <c r="H163" s="273"/>
      <c r="I163" s="273" t="s">
        <v>260</v>
      </c>
      <c r="J163" s="273"/>
      <c r="K163" s="273"/>
      <c r="L163" s="249" t="s">
        <v>179</v>
      </c>
      <c r="M163" s="249"/>
      <c r="N163" s="249"/>
      <c r="O163" s="275" t="s">
        <v>180</v>
      </c>
      <c r="P163" s="275"/>
      <c r="Q163" s="274" t="s">
        <v>851</v>
      </c>
      <c r="R163" s="274"/>
      <c r="S163" s="274"/>
      <c r="T163" s="274"/>
      <c r="U163" s="274"/>
    </row>
    <row r="164" spans="1:21" s="248" customFormat="1" ht="24.75" customHeight="1" hidden="1" outlineLevel="1">
      <c r="A164" s="243" t="s">
        <v>180</v>
      </c>
      <c r="B164" s="275" t="s">
        <v>667</v>
      </c>
      <c r="C164" s="275"/>
      <c r="D164" s="275"/>
      <c r="E164" s="273" t="s">
        <v>179</v>
      </c>
      <c r="F164" s="273"/>
      <c r="G164" s="273" t="s">
        <v>30</v>
      </c>
      <c r="H164" s="273"/>
      <c r="I164" s="273" t="s">
        <v>260</v>
      </c>
      <c r="J164" s="273"/>
      <c r="K164" s="273"/>
      <c r="L164" s="249" t="s">
        <v>179</v>
      </c>
      <c r="M164" s="249"/>
      <c r="N164" s="249"/>
      <c r="O164" s="275" t="s">
        <v>180</v>
      </c>
      <c r="P164" s="275"/>
      <c r="Q164" s="274" t="s">
        <v>852</v>
      </c>
      <c r="R164" s="274"/>
      <c r="S164" s="274"/>
      <c r="T164" s="274"/>
      <c r="U164" s="274"/>
    </row>
    <row r="165" spans="1:21" s="248" customFormat="1" ht="24.75" customHeight="1" hidden="1" outlineLevel="1">
      <c r="A165" s="243" t="s">
        <v>180</v>
      </c>
      <c r="B165" s="275" t="s">
        <v>665</v>
      </c>
      <c r="C165" s="275"/>
      <c r="D165" s="275"/>
      <c r="E165" s="273" t="s">
        <v>179</v>
      </c>
      <c r="F165" s="273"/>
      <c r="G165" s="273" t="s">
        <v>773</v>
      </c>
      <c r="H165" s="273"/>
      <c r="I165" s="273" t="s">
        <v>773</v>
      </c>
      <c r="J165" s="273"/>
      <c r="K165" s="273"/>
      <c r="L165" s="249" t="s">
        <v>179</v>
      </c>
      <c r="M165" s="249"/>
      <c r="N165" s="249"/>
      <c r="O165" s="275" t="s">
        <v>180</v>
      </c>
      <c r="P165" s="275"/>
      <c r="Q165" s="274" t="s">
        <v>853</v>
      </c>
      <c r="R165" s="274"/>
      <c r="S165" s="274"/>
      <c r="T165" s="274"/>
      <c r="U165" s="274"/>
    </row>
    <row r="166" spans="1:21" s="248" customFormat="1" ht="24.75" customHeight="1" hidden="1" outlineLevel="1">
      <c r="A166" s="243" t="s">
        <v>180</v>
      </c>
      <c r="B166" s="275" t="s">
        <v>680</v>
      </c>
      <c r="C166" s="275"/>
      <c r="D166" s="275"/>
      <c r="E166" s="273" t="s">
        <v>179</v>
      </c>
      <c r="F166" s="273"/>
      <c r="G166" s="273" t="s">
        <v>854</v>
      </c>
      <c r="H166" s="273"/>
      <c r="I166" s="273" t="s">
        <v>189</v>
      </c>
      <c r="J166" s="273"/>
      <c r="K166" s="273"/>
      <c r="L166" s="249" t="s">
        <v>179</v>
      </c>
      <c r="M166" s="249"/>
      <c r="N166" s="249"/>
      <c r="O166" s="275" t="s">
        <v>180</v>
      </c>
      <c r="P166" s="275"/>
      <c r="Q166" s="274" t="s">
        <v>855</v>
      </c>
      <c r="R166" s="274"/>
      <c r="S166" s="274"/>
      <c r="T166" s="274"/>
      <c r="U166" s="274"/>
    </row>
    <row r="167" spans="1:21" s="248" customFormat="1" ht="24.75" customHeight="1" hidden="1" outlineLevel="1">
      <c r="A167" s="243" t="s">
        <v>180</v>
      </c>
      <c r="B167" s="275" t="s">
        <v>665</v>
      </c>
      <c r="C167" s="275"/>
      <c r="D167" s="275"/>
      <c r="E167" s="273" t="s">
        <v>179</v>
      </c>
      <c r="F167" s="273"/>
      <c r="G167" s="273" t="s">
        <v>189</v>
      </c>
      <c r="H167" s="273"/>
      <c r="I167" s="273" t="s">
        <v>189</v>
      </c>
      <c r="J167" s="273"/>
      <c r="K167" s="273"/>
      <c r="L167" s="249" t="s">
        <v>179</v>
      </c>
      <c r="M167" s="249"/>
      <c r="N167" s="249"/>
      <c r="O167" s="275" t="s">
        <v>180</v>
      </c>
      <c r="P167" s="275"/>
      <c r="Q167" s="274" t="s">
        <v>856</v>
      </c>
      <c r="R167" s="274"/>
      <c r="S167" s="274"/>
      <c r="T167" s="274"/>
      <c r="U167" s="274"/>
    </row>
    <row r="168" spans="1:21" s="248" customFormat="1" ht="24.75" customHeight="1" hidden="1" outlineLevel="1">
      <c r="A168" s="243" t="s">
        <v>180</v>
      </c>
      <c r="B168" s="275" t="s">
        <v>665</v>
      </c>
      <c r="C168" s="275"/>
      <c r="D168" s="275"/>
      <c r="E168" s="273" t="s">
        <v>179</v>
      </c>
      <c r="F168" s="273"/>
      <c r="G168" s="273" t="s">
        <v>773</v>
      </c>
      <c r="H168" s="273"/>
      <c r="I168" s="273" t="s">
        <v>179</v>
      </c>
      <c r="J168" s="273"/>
      <c r="K168" s="273"/>
      <c r="L168" s="249" t="s">
        <v>179</v>
      </c>
      <c r="M168" s="249"/>
      <c r="N168" s="249"/>
      <c r="O168" s="275" t="s">
        <v>180</v>
      </c>
      <c r="P168" s="275"/>
      <c r="Q168" s="274" t="s">
        <v>857</v>
      </c>
      <c r="R168" s="274"/>
      <c r="S168" s="274"/>
      <c r="T168" s="274"/>
      <c r="U168" s="274"/>
    </row>
    <row r="169" spans="1:21" s="248" customFormat="1" ht="24.75" customHeight="1" hidden="1" outlineLevel="1">
      <c r="A169" s="243" t="s">
        <v>180</v>
      </c>
      <c r="B169" s="275" t="s">
        <v>665</v>
      </c>
      <c r="C169" s="275"/>
      <c r="D169" s="275"/>
      <c r="E169" s="273" t="s">
        <v>179</v>
      </c>
      <c r="F169" s="273"/>
      <c r="G169" s="273" t="s">
        <v>578</v>
      </c>
      <c r="H169" s="273"/>
      <c r="I169" s="273" t="s">
        <v>578</v>
      </c>
      <c r="J169" s="273"/>
      <c r="K169" s="273"/>
      <c r="L169" s="249" t="s">
        <v>179</v>
      </c>
      <c r="M169" s="249"/>
      <c r="N169" s="249"/>
      <c r="O169" s="275" t="s">
        <v>180</v>
      </c>
      <c r="P169" s="275"/>
      <c r="Q169" s="274" t="s">
        <v>858</v>
      </c>
      <c r="R169" s="274"/>
      <c r="S169" s="274"/>
      <c r="T169" s="274"/>
      <c r="U169" s="274"/>
    </row>
    <row r="170" spans="1:21" s="248" customFormat="1" ht="24.75" customHeight="1" hidden="1" outlineLevel="1">
      <c r="A170" s="243" t="s">
        <v>180</v>
      </c>
      <c r="B170" s="275" t="s">
        <v>665</v>
      </c>
      <c r="C170" s="275"/>
      <c r="D170" s="275"/>
      <c r="E170" s="273" t="s">
        <v>179</v>
      </c>
      <c r="F170" s="273"/>
      <c r="G170" s="273" t="s">
        <v>798</v>
      </c>
      <c r="H170" s="273"/>
      <c r="I170" s="273" t="s">
        <v>179</v>
      </c>
      <c r="J170" s="273"/>
      <c r="K170" s="273"/>
      <c r="L170" s="249" t="s">
        <v>179</v>
      </c>
      <c r="M170" s="249"/>
      <c r="N170" s="249"/>
      <c r="O170" s="275" t="s">
        <v>180</v>
      </c>
      <c r="P170" s="275"/>
      <c r="Q170" s="274" t="s">
        <v>859</v>
      </c>
      <c r="R170" s="274"/>
      <c r="S170" s="274"/>
      <c r="T170" s="274"/>
      <c r="U170" s="274"/>
    </row>
    <row r="171" spans="1:21" s="248" customFormat="1" ht="24.75" customHeight="1" hidden="1" outlineLevel="1">
      <c r="A171" s="243" t="s">
        <v>180</v>
      </c>
      <c r="B171" s="275" t="s">
        <v>665</v>
      </c>
      <c r="C171" s="275"/>
      <c r="D171" s="275"/>
      <c r="E171" s="273" t="s">
        <v>179</v>
      </c>
      <c r="F171" s="273"/>
      <c r="G171" s="273" t="s">
        <v>773</v>
      </c>
      <c r="H171" s="273"/>
      <c r="I171" s="273" t="s">
        <v>773</v>
      </c>
      <c r="J171" s="273"/>
      <c r="K171" s="273"/>
      <c r="L171" s="249" t="s">
        <v>179</v>
      </c>
      <c r="M171" s="249"/>
      <c r="N171" s="249"/>
      <c r="O171" s="275" t="s">
        <v>180</v>
      </c>
      <c r="P171" s="275"/>
      <c r="Q171" s="274" t="s">
        <v>860</v>
      </c>
      <c r="R171" s="274"/>
      <c r="S171" s="274"/>
      <c r="T171" s="274"/>
      <c r="U171" s="274"/>
    </row>
    <row r="172" spans="1:21" s="248" customFormat="1" ht="24.75" customHeight="1" hidden="1" outlineLevel="1">
      <c r="A172" s="243" t="s">
        <v>180</v>
      </c>
      <c r="B172" s="275" t="s">
        <v>680</v>
      </c>
      <c r="C172" s="275"/>
      <c r="D172" s="275"/>
      <c r="E172" s="273" t="s">
        <v>179</v>
      </c>
      <c r="F172" s="273"/>
      <c r="G172" s="273" t="s">
        <v>705</v>
      </c>
      <c r="H172" s="273"/>
      <c r="I172" s="273" t="s">
        <v>196</v>
      </c>
      <c r="J172" s="273"/>
      <c r="K172" s="273"/>
      <c r="L172" s="249" t="s">
        <v>179</v>
      </c>
      <c r="M172" s="249"/>
      <c r="N172" s="249"/>
      <c r="O172" s="275" t="s">
        <v>180</v>
      </c>
      <c r="P172" s="275"/>
      <c r="Q172" s="274" t="s">
        <v>861</v>
      </c>
      <c r="R172" s="274"/>
      <c r="S172" s="274"/>
      <c r="T172" s="274"/>
      <c r="U172" s="274"/>
    </row>
    <row r="173" spans="1:21" s="248" customFormat="1" ht="24.75" customHeight="1" hidden="1" outlineLevel="1">
      <c r="A173" s="243" t="s">
        <v>180</v>
      </c>
      <c r="B173" s="275" t="s">
        <v>665</v>
      </c>
      <c r="C173" s="275"/>
      <c r="D173" s="275"/>
      <c r="E173" s="273" t="s">
        <v>179</v>
      </c>
      <c r="F173" s="273"/>
      <c r="G173" s="273" t="s">
        <v>196</v>
      </c>
      <c r="H173" s="273"/>
      <c r="I173" s="273" t="s">
        <v>179</v>
      </c>
      <c r="J173" s="273"/>
      <c r="K173" s="273"/>
      <c r="L173" s="249" t="s">
        <v>179</v>
      </c>
      <c r="M173" s="249"/>
      <c r="N173" s="249"/>
      <c r="O173" s="275" t="s">
        <v>180</v>
      </c>
      <c r="P173" s="275"/>
      <c r="Q173" s="274" t="s">
        <v>862</v>
      </c>
      <c r="R173" s="274"/>
      <c r="S173" s="274"/>
      <c r="T173" s="274"/>
      <c r="U173" s="274"/>
    </row>
    <row r="174" spans="1:21" s="248" customFormat="1" ht="24.75" customHeight="1" hidden="1" outlineLevel="1">
      <c r="A174" s="243" t="s">
        <v>180</v>
      </c>
      <c r="B174" s="275" t="s">
        <v>665</v>
      </c>
      <c r="C174" s="275"/>
      <c r="D174" s="275"/>
      <c r="E174" s="273" t="s">
        <v>179</v>
      </c>
      <c r="F174" s="273"/>
      <c r="G174" s="273" t="s">
        <v>138</v>
      </c>
      <c r="H174" s="273"/>
      <c r="I174" s="273" t="s">
        <v>179</v>
      </c>
      <c r="J174" s="273"/>
      <c r="K174" s="273"/>
      <c r="L174" s="249" t="s">
        <v>179</v>
      </c>
      <c r="M174" s="249"/>
      <c r="N174" s="249"/>
      <c r="O174" s="275" t="s">
        <v>180</v>
      </c>
      <c r="P174" s="275"/>
      <c r="Q174" s="274" t="s">
        <v>863</v>
      </c>
      <c r="R174" s="274"/>
      <c r="S174" s="274"/>
      <c r="T174" s="274"/>
      <c r="U174" s="274"/>
    </row>
    <row r="175" spans="1:21" s="248" customFormat="1" ht="24.75" customHeight="1" hidden="1" outlineLevel="1">
      <c r="A175" s="243" t="s">
        <v>180</v>
      </c>
      <c r="B175" s="275" t="s">
        <v>665</v>
      </c>
      <c r="C175" s="275"/>
      <c r="D175" s="275"/>
      <c r="E175" s="273" t="s">
        <v>179</v>
      </c>
      <c r="F175" s="273"/>
      <c r="G175" s="273" t="s">
        <v>196</v>
      </c>
      <c r="H175" s="273"/>
      <c r="I175" s="273" t="s">
        <v>179</v>
      </c>
      <c r="J175" s="273"/>
      <c r="K175" s="273"/>
      <c r="L175" s="249" t="s">
        <v>179</v>
      </c>
      <c r="M175" s="249"/>
      <c r="N175" s="249"/>
      <c r="O175" s="275" t="s">
        <v>180</v>
      </c>
      <c r="P175" s="275"/>
      <c r="Q175" s="274" t="s">
        <v>864</v>
      </c>
      <c r="R175" s="274"/>
      <c r="S175" s="274"/>
      <c r="T175" s="274"/>
      <c r="U175" s="274"/>
    </row>
    <row r="176" spans="1:21" s="248" customFormat="1" ht="24.75" customHeight="1" hidden="1" outlineLevel="1">
      <c r="A176" s="243" t="s">
        <v>180</v>
      </c>
      <c r="B176" s="275" t="s">
        <v>665</v>
      </c>
      <c r="C176" s="275"/>
      <c r="D176" s="275"/>
      <c r="E176" s="273" t="s">
        <v>179</v>
      </c>
      <c r="F176" s="273"/>
      <c r="G176" s="273" t="s">
        <v>196</v>
      </c>
      <c r="H176" s="273"/>
      <c r="I176" s="273" t="s">
        <v>179</v>
      </c>
      <c r="J176" s="273"/>
      <c r="K176" s="273"/>
      <c r="L176" s="249" t="s">
        <v>179</v>
      </c>
      <c r="M176" s="249"/>
      <c r="N176" s="249"/>
      <c r="O176" s="275" t="s">
        <v>180</v>
      </c>
      <c r="P176" s="275"/>
      <c r="Q176" s="274" t="s">
        <v>865</v>
      </c>
      <c r="R176" s="274"/>
      <c r="S176" s="274"/>
      <c r="T176" s="274"/>
      <c r="U176" s="274"/>
    </row>
    <row r="177" spans="1:21" s="248" customFormat="1" ht="24.75" customHeight="1" hidden="1" outlineLevel="1">
      <c r="A177" s="243" t="s">
        <v>180</v>
      </c>
      <c r="B177" s="275" t="s">
        <v>34</v>
      </c>
      <c r="C177" s="275"/>
      <c r="D177" s="275"/>
      <c r="E177" s="273" t="s">
        <v>179</v>
      </c>
      <c r="F177" s="273"/>
      <c r="G177" s="273" t="s">
        <v>196</v>
      </c>
      <c r="H177" s="273"/>
      <c r="I177" s="273" t="s">
        <v>179</v>
      </c>
      <c r="J177" s="273"/>
      <c r="K177" s="273"/>
      <c r="L177" s="249" t="s">
        <v>179</v>
      </c>
      <c r="M177" s="249"/>
      <c r="N177" s="249"/>
      <c r="O177" s="275" t="s">
        <v>180</v>
      </c>
      <c r="P177" s="275"/>
      <c r="Q177" s="274" t="s">
        <v>866</v>
      </c>
      <c r="R177" s="274"/>
      <c r="S177" s="274"/>
      <c r="T177" s="274"/>
      <c r="U177" s="274"/>
    </row>
    <row r="178" spans="1:21" s="248" customFormat="1" ht="24.75" customHeight="1" hidden="1" outlineLevel="1">
      <c r="A178" s="243" t="s">
        <v>180</v>
      </c>
      <c r="B178" s="275" t="s">
        <v>680</v>
      </c>
      <c r="C178" s="275"/>
      <c r="D178" s="275"/>
      <c r="E178" s="273" t="s">
        <v>179</v>
      </c>
      <c r="F178" s="273"/>
      <c r="G178" s="273" t="s">
        <v>260</v>
      </c>
      <c r="H178" s="273"/>
      <c r="I178" s="273" t="s">
        <v>179</v>
      </c>
      <c r="J178" s="273"/>
      <c r="K178" s="273"/>
      <c r="L178" s="249" t="s">
        <v>179</v>
      </c>
      <c r="M178" s="249"/>
      <c r="N178" s="249"/>
      <c r="O178" s="275" t="s">
        <v>180</v>
      </c>
      <c r="P178" s="275"/>
      <c r="Q178" s="274" t="s">
        <v>867</v>
      </c>
      <c r="R178" s="274"/>
      <c r="S178" s="274"/>
      <c r="T178" s="274"/>
      <c r="U178" s="274"/>
    </row>
    <row r="179" spans="1:21" s="248" customFormat="1" ht="24.75" customHeight="1" hidden="1" outlineLevel="1">
      <c r="A179" s="243" t="s">
        <v>180</v>
      </c>
      <c r="B179" s="275" t="s">
        <v>680</v>
      </c>
      <c r="C179" s="275"/>
      <c r="D179" s="275"/>
      <c r="E179" s="273" t="s">
        <v>179</v>
      </c>
      <c r="F179" s="273"/>
      <c r="G179" s="273" t="s">
        <v>260</v>
      </c>
      <c r="H179" s="273"/>
      <c r="I179" s="273" t="s">
        <v>179</v>
      </c>
      <c r="J179" s="273"/>
      <c r="K179" s="273"/>
      <c r="L179" s="249" t="s">
        <v>179</v>
      </c>
      <c r="M179" s="249"/>
      <c r="N179" s="249"/>
      <c r="O179" s="275" t="s">
        <v>180</v>
      </c>
      <c r="P179" s="275"/>
      <c r="Q179" s="274" t="s">
        <v>868</v>
      </c>
      <c r="R179" s="274"/>
      <c r="S179" s="274"/>
      <c r="T179" s="274"/>
      <c r="U179" s="274"/>
    </row>
    <row r="180" spans="1:21" s="248" customFormat="1" ht="24.75" customHeight="1" hidden="1" outlineLevel="1">
      <c r="A180" s="243" t="s">
        <v>180</v>
      </c>
      <c r="B180" s="275" t="s">
        <v>680</v>
      </c>
      <c r="C180" s="275"/>
      <c r="D180" s="275"/>
      <c r="E180" s="273" t="s">
        <v>179</v>
      </c>
      <c r="F180" s="273"/>
      <c r="G180" s="273" t="s">
        <v>798</v>
      </c>
      <c r="H180" s="273"/>
      <c r="I180" s="273" t="s">
        <v>179</v>
      </c>
      <c r="J180" s="273"/>
      <c r="K180" s="273"/>
      <c r="L180" s="249" t="s">
        <v>179</v>
      </c>
      <c r="M180" s="249"/>
      <c r="N180" s="249"/>
      <c r="O180" s="275" t="s">
        <v>180</v>
      </c>
      <c r="P180" s="275"/>
      <c r="Q180" s="274" t="s">
        <v>869</v>
      </c>
      <c r="R180" s="274"/>
      <c r="S180" s="274"/>
      <c r="T180" s="274"/>
      <c r="U180" s="274"/>
    </row>
    <row r="181" spans="1:21" s="248" customFormat="1" ht="24.75" customHeight="1" hidden="1" outlineLevel="1">
      <c r="A181" s="243" t="s">
        <v>180</v>
      </c>
      <c r="B181" s="275" t="s">
        <v>680</v>
      </c>
      <c r="C181" s="275"/>
      <c r="D181" s="275"/>
      <c r="E181" s="273" t="s">
        <v>179</v>
      </c>
      <c r="F181" s="273"/>
      <c r="G181" s="273" t="s">
        <v>773</v>
      </c>
      <c r="H181" s="273"/>
      <c r="I181" s="273" t="s">
        <v>179</v>
      </c>
      <c r="J181" s="273"/>
      <c r="K181" s="273"/>
      <c r="L181" s="249" t="s">
        <v>179</v>
      </c>
      <c r="M181" s="249"/>
      <c r="N181" s="249"/>
      <c r="O181" s="275" t="s">
        <v>180</v>
      </c>
      <c r="P181" s="275"/>
      <c r="Q181" s="274" t="s">
        <v>870</v>
      </c>
      <c r="R181" s="274"/>
      <c r="S181" s="274"/>
      <c r="T181" s="274"/>
      <c r="U181" s="274"/>
    </row>
    <row r="182" spans="1:21" s="248" customFormat="1" ht="24.75" customHeight="1" hidden="1" outlineLevel="1">
      <c r="A182" s="243" t="s">
        <v>180</v>
      </c>
      <c r="B182" s="275" t="s">
        <v>665</v>
      </c>
      <c r="C182" s="275"/>
      <c r="D182" s="275"/>
      <c r="E182" s="273" t="s">
        <v>179</v>
      </c>
      <c r="F182" s="273"/>
      <c r="G182" s="273" t="s">
        <v>773</v>
      </c>
      <c r="H182" s="273"/>
      <c r="I182" s="273" t="s">
        <v>179</v>
      </c>
      <c r="J182" s="273"/>
      <c r="K182" s="273"/>
      <c r="L182" s="249" t="s">
        <v>179</v>
      </c>
      <c r="M182" s="249"/>
      <c r="N182" s="249"/>
      <c r="O182" s="275" t="s">
        <v>180</v>
      </c>
      <c r="P182" s="275"/>
      <c r="Q182" s="274" t="s">
        <v>871</v>
      </c>
      <c r="R182" s="274"/>
      <c r="S182" s="274"/>
      <c r="T182" s="274"/>
      <c r="U182" s="274"/>
    </row>
    <row r="183" spans="1:21" s="248" customFormat="1" ht="24.75" customHeight="1" hidden="1" outlineLevel="1">
      <c r="A183" s="243" t="s">
        <v>180</v>
      </c>
      <c r="B183" s="275" t="s">
        <v>680</v>
      </c>
      <c r="C183" s="275"/>
      <c r="D183" s="275"/>
      <c r="E183" s="273" t="s">
        <v>179</v>
      </c>
      <c r="F183" s="273"/>
      <c r="G183" s="273" t="s">
        <v>773</v>
      </c>
      <c r="H183" s="273"/>
      <c r="I183" s="273" t="s">
        <v>179</v>
      </c>
      <c r="J183" s="273"/>
      <c r="K183" s="273"/>
      <c r="L183" s="249" t="s">
        <v>179</v>
      </c>
      <c r="M183" s="249"/>
      <c r="N183" s="249"/>
      <c r="O183" s="275" t="s">
        <v>180</v>
      </c>
      <c r="P183" s="275"/>
      <c r="Q183" s="274" t="s">
        <v>872</v>
      </c>
      <c r="R183" s="274"/>
      <c r="S183" s="274"/>
      <c r="T183" s="274"/>
      <c r="U183" s="274"/>
    </row>
    <row r="184" spans="1:21" s="248" customFormat="1" ht="24.75" customHeight="1" hidden="1" outlineLevel="1">
      <c r="A184" s="243" t="s">
        <v>180</v>
      </c>
      <c r="B184" s="275" t="s">
        <v>680</v>
      </c>
      <c r="C184" s="275"/>
      <c r="D184" s="275"/>
      <c r="E184" s="273" t="s">
        <v>179</v>
      </c>
      <c r="F184" s="273"/>
      <c r="G184" s="273" t="s">
        <v>773</v>
      </c>
      <c r="H184" s="273"/>
      <c r="I184" s="273" t="s">
        <v>179</v>
      </c>
      <c r="J184" s="273"/>
      <c r="K184" s="273"/>
      <c r="L184" s="249" t="s">
        <v>179</v>
      </c>
      <c r="M184" s="249"/>
      <c r="N184" s="249"/>
      <c r="O184" s="275" t="s">
        <v>180</v>
      </c>
      <c r="P184" s="275"/>
      <c r="Q184" s="274" t="s">
        <v>873</v>
      </c>
      <c r="R184" s="274"/>
      <c r="S184" s="274"/>
      <c r="T184" s="274"/>
      <c r="U184" s="274"/>
    </row>
    <row r="185" spans="1:21" s="248" customFormat="1" ht="24.75" customHeight="1" hidden="1" outlineLevel="1">
      <c r="A185" s="243" t="s">
        <v>180</v>
      </c>
      <c r="B185" s="275" t="s">
        <v>680</v>
      </c>
      <c r="C185" s="275"/>
      <c r="D185" s="275"/>
      <c r="E185" s="273" t="s">
        <v>179</v>
      </c>
      <c r="F185" s="273"/>
      <c r="G185" s="273" t="s">
        <v>18</v>
      </c>
      <c r="H185" s="273"/>
      <c r="I185" s="273" t="s">
        <v>179</v>
      </c>
      <c r="J185" s="273"/>
      <c r="K185" s="273"/>
      <c r="L185" s="249" t="s">
        <v>179</v>
      </c>
      <c r="M185" s="249"/>
      <c r="N185" s="249"/>
      <c r="O185" s="275" t="s">
        <v>180</v>
      </c>
      <c r="P185" s="275"/>
      <c r="Q185" s="274" t="s">
        <v>874</v>
      </c>
      <c r="R185" s="274"/>
      <c r="S185" s="274"/>
      <c r="T185" s="274"/>
      <c r="U185" s="274"/>
    </row>
    <row r="186" spans="1:21" s="248" customFormat="1" ht="24.75" customHeight="1" hidden="1" outlineLevel="1">
      <c r="A186" s="243" t="s">
        <v>180</v>
      </c>
      <c r="B186" s="275" t="s">
        <v>669</v>
      </c>
      <c r="C186" s="275"/>
      <c r="D186" s="275"/>
      <c r="E186" s="273" t="s">
        <v>179</v>
      </c>
      <c r="F186" s="273"/>
      <c r="G186" s="273" t="s">
        <v>771</v>
      </c>
      <c r="H186" s="273"/>
      <c r="I186" s="273" t="s">
        <v>771</v>
      </c>
      <c r="J186" s="273"/>
      <c r="K186" s="273"/>
      <c r="L186" s="249" t="s">
        <v>179</v>
      </c>
      <c r="M186" s="249"/>
      <c r="N186" s="249"/>
      <c r="O186" s="275" t="s">
        <v>180</v>
      </c>
      <c r="P186" s="275"/>
      <c r="Q186" s="274" t="s">
        <v>875</v>
      </c>
      <c r="R186" s="274"/>
      <c r="S186" s="274"/>
      <c r="T186" s="274"/>
      <c r="U186" s="274"/>
    </row>
    <row r="187" spans="1:21" s="248" customFormat="1" ht="24.75" customHeight="1" hidden="1" outlineLevel="1">
      <c r="A187" s="243" t="s">
        <v>180</v>
      </c>
      <c r="B187" s="275" t="s">
        <v>680</v>
      </c>
      <c r="C187" s="275"/>
      <c r="D187" s="275"/>
      <c r="E187" s="273" t="s">
        <v>179</v>
      </c>
      <c r="F187" s="273"/>
      <c r="G187" s="273" t="s">
        <v>773</v>
      </c>
      <c r="H187" s="273"/>
      <c r="I187" s="273" t="s">
        <v>773</v>
      </c>
      <c r="J187" s="273"/>
      <c r="K187" s="273"/>
      <c r="L187" s="249" t="s">
        <v>179</v>
      </c>
      <c r="M187" s="249"/>
      <c r="N187" s="249"/>
      <c r="O187" s="275" t="s">
        <v>180</v>
      </c>
      <c r="P187" s="275"/>
      <c r="Q187" s="274" t="s">
        <v>876</v>
      </c>
      <c r="R187" s="274"/>
      <c r="S187" s="274"/>
      <c r="T187" s="274"/>
      <c r="U187" s="274"/>
    </row>
    <row r="188" spans="1:21" s="248" customFormat="1" ht="24.75" customHeight="1" hidden="1" outlineLevel="1">
      <c r="A188" s="243" t="s">
        <v>180</v>
      </c>
      <c r="B188" s="275" t="s">
        <v>680</v>
      </c>
      <c r="C188" s="275"/>
      <c r="D188" s="275"/>
      <c r="E188" s="273" t="s">
        <v>179</v>
      </c>
      <c r="F188" s="273"/>
      <c r="G188" s="273" t="s">
        <v>773</v>
      </c>
      <c r="H188" s="273"/>
      <c r="I188" s="273" t="s">
        <v>179</v>
      </c>
      <c r="J188" s="273"/>
      <c r="K188" s="273"/>
      <c r="L188" s="249" t="s">
        <v>179</v>
      </c>
      <c r="M188" s="249"/>
      <c r="N188" s="249"/>
      <c r="O188" s="275" t="s">
        <v>180</v>
      </c>
      <c r="P188" s="275"/>
      <c r="Q188" s="274" t="s">
        <v>877</v>
      </c>
      <c r="R188" s="274"/>
      <c r="S188" s="274"/>
      <c r="T188" s="274"/>
      <c r="U188" s="274"/>
    </row>
    <row r="189" spans="1:21" s="248" customFormat="1" ht="24.75" customHeight="1" hidden="1" outlineLevel="1">
      <c r="A189" s="243" t="s">
        <v>180</v>
      </c>
      <c r="B189" s="275" t="s">
        <v>665</v>
      </c>
      <c r="C189" s="275"/>
      <c r="D189" s="275"/>
      <c r="E189" s="273" t="s">
        <v>179</v>
      </c>
      <c r="F189" s="273"/>
      <c r="G189" s="273" t="s">
        <v>18</v>
      </c>
      <c r="H189" s="273"/>
      <c r="I189" s="273" t="s">
        <v>179</v>
      </c>
      <c r="J189" s="273"/>
      <c r="K189" s="273"/>
      <c r="L189" s="249" t="s">
        <v>179</v>
      </c>
      <c r="M189" s="249"/>
      <c r="N189" s="249"/>
      <c r="O189" s="275" t="s">
        <v>180</v>
      </c>
      <c r="P189" s="275"/>
      <c r="Q189" s="274" t="s">
        <v>878</v>
      </c>
      <c r="R189" s="274"/>
      <c r="S189" s="274"/>
      <c r="T189" s="274"/>
      <c r="U189" s="274"/>
    </row>
    <row r="190" spans="1:21" s="248" customFormat="1" ht="24.75" customHeight="1" hidden="1" outlineLevel="1">
      <c r="A190" s="243" t="s">
        <v>180</v>
      </c>
      <c r="B190" s="275" t="s">
        <v>680</v>
      </c>
      <c r="C190" s="275"/>
      <c r="D190" s="275"/>
      <c r="E190" s="273" t="s">
        <v>179</v>
      </c>
      <c r="F190" s="273"/>
      <c r="G190" s="273" t="s">
        <v>18</v>
      </c>
      <c r="H190" s="273"/>
      <c r="I190" s="273" t="s">
        <v>179</v>
      </c>
      <c r="J190" s="273"/>
      <c r="K190" s="273"/>
      <c r="L190" s="249" t="s">
        <v>179</v>
      </c>
      <c r="M190" s="249"/>
      <c r="N190" s="249"/>
      <c r="O190" s="275" t="s">
        <v>180</v>
      </c>
      <c r="P190" s="275"/>
      <c r="Q190" s="274" t="s">
        <v>879</v>
      </c>
      <c r="R190" s="274"/>
      <c r="S190" s="274"/>
      <c r="T190" s="274"/>
      <c r="U190" s="274"/>
    </row>
    <row r="191" spans="1:21" s="248" customFormat="1" ht="24.75" customHeight="1" hidden="1" outlineLevel="1">
      <c r="A191" s="243" t="s">
        <v>180</v>
      </c>
      <c r="B191" s="275" t="s">
        <v>680</v>
      </c>
      <c r="C191" s="275"/>
      <c r="D191" s="275"/>
      <c r="E191" s="273" t="s">
        <v>179</v>
      </c>
      <c r="F191" s="273"/>
      <c r="G191" s="273" t="s">
        <v>260</v>
      </c>
      <c r="H191" s="273"/>
      <c r="I191" s="273" t="s">
        <v>179</v>
      </c>
      <c r="J191" s="273"/>
      <c r="K191" s="273"/>
      <c r="L191" s="249" t="s">
        <v>179</v>
      </c>
      <c r="M191" s="249"/>
      <c r="N191" s="249"/>
      <c r="O191" s="275" t="s">
        <v>180</v>
      </c>
      <c r="P191" s="275"/>
      <c r="Q191" s="274" t="s">
        <v>880</v>
      </c>
      <c r="R191" s="274"/>
      <c r="S191" s="274"/>
      <c r="T191" s="274"/>
      <c r="U191" s="274"/>
    </row>
    <row r="192" spans="1:21" s="248" customFormat="1" ht="24.75" customHeight="1" hidden="1" outlineLevel="1">
      <c r="A192" s="243" t="s">
        <v>180</v>
      </c>
      <c r="B192" s="275" t="s">
        <v>680</v>
      </c>
      <c r="C192" s="275"/>
      <c r="D192" s="275"/>
      <c r="E192" s="273" t="s">
        <v>179</v>
      </c>
      <c r="F192" s="273"/>
      <c r="G192" s="273" t="s">
        <v>798</v>
      </c>
      <c r="H192" s="273"/>
      <c r="I192" s="273" t="s">
        <v>179</v>
      </c>
      <c r="J192" s="273"/>
      <c r="K192" s="273"/>
      <c r="L192" s="249" t="s">
        <v>179</v>
      </c>
      <c r="M192" s="249"/>
      <c r="N192" s="249"/>
      <c r="O192" s="275" t="s">
        <v>180</v>
      </c>
      <c r="P192" s="275"/>
      <c r="Q192" s="274" t="s">
        <v>881</v>
      </c>
      <c r="R192" s="274"/>
      <c r="S192" s="274"/>
      <c r="T192" s="274"/>
      <c r="U192" s="274"/>
    </row>
    <row r="193" spans="1:21" s="248" customFormat="1" ht="24.75" customHeight="1" hidden="1" outlineLevel="1">
      <c r="A193" s="243" t="s">
        <v>180</v>
      </c>
      <c r="B193" s="275" t="s">
        <v>680</v>
      </c>
      <c r="C193" s="275"/>
      <c r="D193" s="275"/>
      <c r="E193" s="273" t="s">
        <v>179</v>
      </c>
      <c r="F193" s="273"/>
      <c r="G193" s="273" t="s">
        <v>798</v>
      </c>
      <c r="H193" s="273"/>
      <c r="I193" s="273" t="s">
        <v>179</v>
      </c>
      <c r="J193" s="273"/>
      <c r="K193" s="273"/>
      <c r="L193" s="249" t="s">
        <v>179</v>
      </c>
      <c r="M193" s="249"/>
      <c r="N193" s="249"/>
      <c r="O193" s="275" t="s">
        <v>180</v>
      </c>
      <c r="P193" s="275"/>
      <c r="Q193" s="274" t="s">
        <v>882</v>
      </c>
      <c r="R193" s="274"/>
      <c r="S193" s="274"/>
      <c r="T193" s="274"/>
      <c r="U193" s="274"/>
    </row>
    <row r="194" spans="1:21" s="248" customFormat="1" ht="19.5" customHeight="1" hidden="1" collapsed="1">
      <c r="A194" s="316" t="s">
        <v>283</v>
      </c>
      <c r="B194" s="316"/>
      <c r="C194" s="316"/>
      <c r="D194" s="316"/>
      <c r="E194" s="273" t="s">
        <v>179</v>
      </c>
      <c r="F194" s="273"/>
      <c r="G194" s="273">
        <v>2210</v>
      </c>
      <c r="H194" s="273"/>
      <c r="I194" s="273">
        <v>1255</v>
      </c>
      <c r="J194" s="273"/>
      <c r="K194" s="273"/>
      <c r="L194" s="249" t="s">
        <v>179</v>
      </c>
      <c r="M194" s="249"/>
      <c r="N194" s="249"/>
      <c r="O194" s="275" t="s">
        <v>180</v>
      </c>
      <c r="P194" s="275"/>
      <c r="Q194" s="274" t="s">
        <v>883</v>
      </c>
      <c r="R194" s="274"/>
      <c r="S194" s="274"/>
      <c r="T194" s="274"/>
      <c r="U194" s="274"/>
    </row>
    <row r="195" spans="1:21" s="248" customFormat="1" ht="19.5" customHeight="1" hidden="1">
      <c r="A195" s="315" t="s">
        <v>884</v>
      </c>
      <c r="B195" s="315"/>
      <c r="C195" s="315"/>
      <c r="D195" s="315"/>
      <c r="E195" s="315"/>
      <c r="F195" s="315"/>
      <c r="G195" s="315"/>
      <c r="H195" s="315"/>
      <c r="I195" s="315"/>
      <c r="J195" s="315"/>
      <c r="K195" s="315"/>
      <c r="L195" s="315"/>
      <c r="M195" s="315"/>
      <c r="N195" s="315"/>
      <c r="O195" s="315"/>
      <c r="P195" s="315"/>
      <c r="Q195" s="315"/>
      <c r="R195" s="315"/>
      <c r="S195" s="315"/>
      <c r="T195" s="315"/>
      <c r="U195" s="315"/>
    </row>
    <row r="196" spans="1:21" s="248" customFormat="1" ht="24.75" customHeight="1" hidden="1" outlineLevel="1">
      <c r="A196" s="243" t="s">
        <v>180</v>
      </c>
      <c r="B196" s="275" t="s">
        <v>680</v>
      </c>
      <c r="C196" s="275"/>
      <c r="D196" s="275"/>
      <c r="E196" s="273" t="s">
        <v>179</v>
      </c>
      <c r="F196" s="273"/>
      <c r="G196" s="273" t="s">
        <v>578</v>
      </c>
      <c r="H196" s="273"/>
      <c r="I196" s="273" t="s">
        <v>578</v>
      </c>
      <c r="J196" s="273"/>
      <c r="K196" s="273"/>
      <c r="L196" s="249" t="s">
        <v>179</v>
      </c>
      <c r="M196" s="249"/>
      <c r="N196" s="249"/>
      <c r="O196" s="275" t="s">
        <v>180</v>
      </c>
      <c r="P196" s="275"/>
      <c r="Q196" s="274" t="s">
        <v>885</v>
      </c>
      <c r="R196" s="274"/>
      <c r="S196" s="274"/>
      <c r="T196" s="274"/>
      <c r="U196" s="274"/>
    </row>
    <row r="197" spans="1:21" s="248" customFormat="1" ht="24.75" customHeight="1" hidden="1" outlineLevel="1">
      <c r="A197" s="243" t="s">
        <v>180</v>
      </c>
      <c r="B197" s="275" t="s">
        <v>680</v>
      </c>
      <c r="C197" s="275"/>
      <c r="D197" s="275"/>
      <c r="E197" s="273" t="s">
        <v>179</v>
      </c>
      <c r="F197" s="273"/>
      <c r="G197" s="273" t="s">
        <v>260</v>
      </c>
      <c r="H197" s="273"/>
      <c r="I197" s="273" t="s">
        <v>260</v>
      </c>
      <c r="J197" s="273"/>
      <c r="K197" s="273"/>
      <c r="L197" s="249" t="s">
        <v>179</v>
      </c>
      <c r="M197" s="249"/>
      <c r="N197" s="249"/>
      <c r="O197" s="275" t="s">
        <v>180</v>
      </c>
      <c r="P197" s="275"/>
      <c r="Q197" s="274" t="s">
        <v>886</v>
      </c>
      <c r="R197" s="274"/>
      <c r="S197" s="274"/>
      <c r="T197" s="274"/>
      <c r="U197" s="274"/>
    </row>
    <row r="198" spans="1:21" s="248" customFormat="1" ht="24.75" customHeight="1" hidden="1" outlineLevel="1">
      <c r="A198" s="243" t="s">
        <v>180</v>
      </c>
      <c r="B198" s="275" t="s">
        <v>680</v>
      </c>
      <c r="C198" s="275"/>
      <c r="D198" s="275"/>
      <c r="E198" s="273" t="s">
        <v>179</v>
      </c>
      <c r="F198" s="273"/>
      <c r="G198" s="273" t="s">
        <v>887</v>
      </c>
      <c r="H198" s="273"/>
      <c r="I198" s="273" t="s">
        <v>887</v>
      </c>
      <c r="J198" s="273"/>
      <c r="K198" s="273"/>
      <c r="L198" s="249" t="s">
        <v>179</v>
      </c>
      <c r="M198" s="249"/>
      <c r="N198" s="249"/>
      <c r="O198" s="275" t="s">
        <v>180</v>
      </c>
      <c r="P198" s="275"/>
      <c r="Q198" s="274" t="s">
        <v>888</v>
      </c>
      <c r="R198" s="274"/>
      <c r="S198" s="274"/>
      <c r="T198" s="274"/>
      <c r="U198" s="274"/>
    </row>
    <row r="199" spans="1:21" s="248" customFormat="1" ht="24.75" customHeight="1" hidden="1" outlineLevel="1">
      <c r="A199" s="243" t="s">
        <v>180</v>
      </c>
      <c r="B199" s="275" t="s">
        <v>680</v>
      </c>
      <c r="C199" s="275"/>
      <c r="D199" s="275"/>
      <c r="E199" s="273" t="s">
        <v>179</v>
      </c>
      <c r="F199" s="273"/>
      <c r="G199" s="273" t="s">
        <v>773</v>
      </c>
      <c r="H199" s="273"/>
      <c r="I199" s="273" t="s">
        <v>773</v>
      </c>
      <c r="J199" s="273"/>
      <c r="K199" s="273"/>
      <c r="L199" s="249" t="s">
        <v>179</v>
      </c>
      <c r="M199" s="249"/>
      <c r="N199" s="249"/>
      <c r="O199" s="275" t="s">
        <v>180</v>
      </c>
      <c r="P199" s="275"/>
      <c r="Q199" s="274" t="s">
        <v>889</v>
      </c>
      <c r="R199" s="274"/>
      <c r="S199" s="274"/>
      <c r="T199" s="274"/>
      <c r="U199" s="274"/>
    </row>
    <row r="200" spans="1:21" s="248" customFormat="1" ht="24.75" customHeight="1" hidden="1" outlineLevel="1">
      <c r="A200" s="243" t="s">
        <v>180</v>
      </c>
      <c r="B200" s="275" t="s">
        <v>680</v>
      </c>
      <c r="C200" s="275"/>
      <c r="D200" s="275"/>
      <c r="E200" s="273" t="s">
        <v>179</v>
      </c>
      <c r="F200" s="273"/>
      <c r="G200" s="273" t="s">
        <v>260</v>
      </c>
      <c r="H200" s="273"/>
      <c r="I200" s="273" t="s">
        <v>260</v>
      </c>
      <c r="J200" s="273"/>
      <c r="K200" s="273"/>
      <c r="L200" s="249" t="s">
        <v>179</v>
      </c>
      <c r="M200" s="249"/>
      <c r="N200" s="249"/>
      <c r="O200" s="275" t="s">
        <v>180</v>
      </c>
      <c r="P200" s="275"/>
      <c r="Q200" s="274" t="s">
        <v>890</v>
      </c>
      <c r="R200" s="274"/>
      <c r="S200" s="274"/>
      <c r="T200" s="274"/>
      <c r="U200" s="274"/>
    </row>
    <row r="201" spans="1:21" s="248" customFormat="1" ht="24.75" customHeight="1" hidden="1" outlineLevel="1">
      <c r="A201" s="243" t="s">
        <v>180</v>
      </c>
      <c r="B201" s="275" t="s">
        <v>680</v>
      </c>
      <c r="C201" s="275"/>
      <c r="D201" s="275"/>
      <c r="E201" s="273" t="s">
        <v>179</v>
      </c>
      <c r="F201" s="273"/>
      <c r="G201" s="273" t="s">
        <v>18</v>
      </c>
      <c r="H201" s="273"/>
      <c r="I201" s="273" t="s">
        <v>18</v>
      </c>
      <c r="J201" s="273"/>
      <c r="K201" s="273"/>
      <c r="L201" s="249" t="s">
        <v>179</v>
      </c>
      <c r="M201" s="249"/>
      <c r="N201" s="249"/>
      <c r="O201" s="275" t="s">
        <v>180</v>
      </c>
      <c r="P201" s="275"/>
      <c r="Q201" s="274" t="s">
        <v>891</v>
      </c>
      <c r="R201" s="274"/>
      <c r="S201" s="274"/>
      <c r="T201" s="274"/>
      <c r="U201" s="274"/>
    </row>
    <row r="202" spans="1:21" s="248" customFormat="1" ht="24.75" customHeight="1" hidden="1" outlineLevel="1">
      <c r="A202" s="243" t="s">
        <v>180</v>
      </c>
      <c r="B202" s="275" t="s">
        <v>680</v>
      </c>
      <c r="C202" s="275"/>
      <c r="D202" s="275"/>
      <c r="E202" s="273" t="s">
        <v>179</v>
      </c>
      <c r="F202" s="273"/>
      <c r="G202" s="273" t="s">
        <v>798</v>
      </c>
      <c r="H202" s="273"/>
      <c r="I202" s="273" t="s">
        <v>798</v>
      </c>
      <c r="J202" s="273"/>
      <c r="K202" s="273"/>
      <c r="L202" s="249" t="s">
        <v>179</v>
      </c>
      <c r="M202" s="249"/>
      <c r="N202" s="249"/>
      <c r="O202" s="275" t="s">
        <v>180</v>
      </c>
      <c r="P202" s="275"/>
      <c r="Q202" s="274" t="s">
        <v>892</v>
      </c>
      <c r="R202" s="274"/>
      <c r="S202" s="274"/>
      <c r="T202" s="274"/>
      <c r="U202" s="274"/>
    </row>
    <row r="203" spans="1:21" s="248" customFormat="1" ht="24.75" customHeight="1" hidden="1" outlineLevel="1">
      <c r="A203" s="243" t="s">
        <v>180</v>
      </c>
      <c r="B203" s="275" t="s">
        <v>680</v>
      </c>
      <c r="C203" s="275"/>
      <c r="D203" s="275"/>
      <c r="E203" s="273" t="s">
        <v>179</v>
      </c>
      <c r="F203" s="273"/>
      <c r="G203" s="273" t="s">
        <v>278</v>
      </c>
      <c r="H203" s="273"/>
      <c r="I203" s="273" t="s">
        <v>278</v>
      </c>
      <c r="J203" s="273"/>
      <c r="K203" s="273"/>
      <c r="L203" s="249" t="s">
        <v>179</v>
      </c>
      <c r="M203" s="249"/>
      <c r="N203" s="249"/>
      <c r="O203" s="275" t="s">
        <v>180</v>
      </c>
      <c r="P203" s="275"/>
      <c r="Q203" s="274" t="s">
        <v>893</v>
      </c>
      <c r="R203" s="274"/>
      <c r="S203" s="274"/>
      <c r="T203" s="274"/>
      <c r="U203" s="274"/>
    </row>
    <row r="204" spans="1:21" s="248" customFormat="1" ht="24.75" customHeight="1" hidden="1" outlineLevel="1">
      <c r="A204" s="243" t="s">
        <v>180</v>
      </c>
      <c r="B204" s="275" t="s">
        <v>667</v>
      </c>
      <c r="C204" s="275"/>
      <c r="D204" s="275"/>
      <c r="E204" s="273" t="s">
        <v>179</v>
      </c>
      <c r="F204" s="273"/>
      <c r="G204" s="273" t="s">
        <v>18</v>
      </c>
      <c r="H204" s="273"/>
      <c r="I204" s="273" t="s">
        <v>18</v>
      </c>
      <c r="J204" s="273"/>
      <c r="K204" s="273"/>
      <c r="L204" s="249" t="s">
        <v>179</v>
      </c>
      <c r="M204" s="249"/>
      <c r="N204" s="249"/>
      <c r="O204" s="275" t="s">
        <v>180</v>
      </c>
      <c r="P204" s="275"/>
      <c r="Q204" s="274" t="s">
        <v>894</v>
      </c>
      <c r="R204" s="274"/>
      <c r="S204" s="274"/>
      <c r="T204" s="274"/>
      <c r="U204" s="274"/>
    </row>
    <row r="205" spans="1:24" s="248" customFormat="1" ht="24.75" customHeight="1" hidden="1" outlineLevel="1">
      <c r="A205" s="243" t="s">
        <v>180</v>
      </c>
      <c r="B205" s="275" t="s">
        <v>680</v>
      </c>
      <c r="C205" s="275"/>
      <c r="D205" s="275"/>
      <c r="E205" s="273" t="s">
        <v>179</v>
      </c>
      <c r="F205" s="273"/>
      <c r="G205" s="273" t="s">
        <v>260</v>
      </c>
      <c r="H205" s="273"/>
      <c r="I205" s="273" t="s">
        <v>260</v>
      </c>
      <c r="J205" s="273"/>
      <c r="K205" s="273"/>
      <c r="L205" s="249" t="s">
        <v>179</v>
      </c>
      <c r="M205" s="249"/>
      <c r="N205" s="249"/>
      <c r="O205" s="275" t="s">
        <v>180</v>
      </c>
      <c r="P205" s="275"/>
      <c r="Q205" s="274" t="s">
        <v>895</v>
      </c>
      <c r="R205" s="274"/>
      <c r="S205" s="274"/>
      <c r="T205" s="274"/>
      <c r="U205" s="274"/>
      <c r="X205" s="248" t="s">
        <v>896</v>
      </c>
    </row>
    <row r="206" spans="1:21" s="248" customFormat="1" ht="24.75" customHeight="1" hidden="1" outlineLevel="1">
      <c r="A206" s="243" t="s">
        <v>180</v>
      </c>
      <c r="B206" s="275" t="s">
        <v>680</v>
      </c>
      <c r="C206" s="275"/>
      <c r="D206" s="275"/>
      <c r="E206" s="273" t="s">
        <v>179</v>
      </c>
      <c r="F206" s="273"/>
      <c r="G206" s="273" t="s">
        <v>793</v>
      </c>
      <c r="H206" s="273"/>
      <c r="I206" s="273" t="s">
        <v>260</v>
      </c>
      <c r="J206" s="273"/>
      <c r="K206" s="273"/>
      <c r="L206" s="249" t="s">
        <v>179</v>
      </c>
      <c r="M206" s="249"/>
      <c r="N206" s="249"/>
      <c r="O206" s="275" t="s">
        <v>180</v>
      </c>
      <c r="P206" s="275"/>
      <c r="Q206" s="274" t="s">
        <v>897</v>
      </c>
      <c r="R206" s="274"/>
      <c r="S206" s="274"/>
      <c r="T206" s="274"/>
      <c r="U206" s="274"/>
    </row>
    <row r="207" spans="1:21" s="248" customFormat="1" ht="24.75" customHeight="1" hidden="1" outlineLevel="1">
      <c r="A207" s="243" t="s">
        <v>180</v>
      </c>
      <c r="B207" s="275" t="s">
        <v>680</v>
      </c>
      <c r="C207" s="275"/>
      <c r="D207" s="275"/>
      <c r="E207" s="273" t="s">
        <v>179</v>
      </c>
      <c r="F207" s="273"/>
      <c r="G207" s="273" t="s">
        <v>798</v>
      </c>
      <c r="H207" s="273"/>
      <c r="I207" s="273" t="s">
        <v>798</v>
      </c>
      <c r="J207" s="273"/>
      <c r="K207" s="273"/>
      <c r="L207" s="249" t="s">
        <v>179</v>
      </c>
      <c r="M207" s="249"/>
      <c r="N207" s="249"/>
      <c r="O207" s="275" t="s">
        <v>180</v>
      </c>
      <c r="P207" s="275"/>
      <c r="Q207" s="274" t="s">
        <v>898</v>
      </c>
      <c r="R207" s="274"/>
      <c r="S207" s="274"/>
      <c r="T207" s="274"/>
      <c r="U207" s="274"/>
    </row>
    <row r="208" spans="1:21" s="248" customFormat="1" ht="24.75" customHeight="1" hidden="1" outlineLevel="1">
      <c r="A208" s="243" t="s">
        <v>180</v>
      </c>
      <c r="B208" s="275" t="s">
        <v>665</v>
      </c>
      <c r="C208" s="275"/>
      <c r="D208" s="275"/>
      <c r="E208" s="273" t="s">
        <v>179</v>
      </c>
      <c r="F208" s="273"/>
      <c r="G208" s="273" t="s">
        <v>186</v>
      </c>
      <c r="H208" s="273"/>
      <c r="I208" s="273" t="s">
        <v>186</v>
      </c>
      <c r="J208" s="273"/>
      <c r="K208" s="273"/>
      <c r="L208" s="249" t="s">
        <v>179</v>
      </c>
      <c r="M208" s="249"/>
      <c r="N208" s="249"/>
      <c r="O208" s="275" t="s">
        <v>180</v>
      </c>
      <c r="P208" s="275"/>
      <c r="Q208" s="274" t="s">
        <v>899</v>
      </c>
      <c r="R208" s="274"/>
      <c r="S208" s="274"/>
      <c r="T208" s="274"/>
      <c r="U208" s="274"/>
    </row>
    <row r="209" spans="1:21" s="248" customFormat="1" ht="24.75" customHeight="1" hidden="1" outlineLevel="1">
      <c r="A209" s="243" t="s">
        <v>180</v>
      </c>
      <c r="B209" s="275" t="s">
        <v>680</v>
      </c>
      <c r="C209" s="275"/>
      <c r="D209" s="275"/>
      <c r="E209" s="273" t="s">
        <v>179</v>
      </c>
      <c r="F209" s="273"/>
      <c r="G209" s="273" t="s">
        <v>771</v>
      </c>
      <c r="H209" s="273"/>
      <c r="I209" s="273" t="s">
        <v>771</v>
      </c>
      <c r="J209" s="273"/>
      <c r="K209" s="273"/>
      <c r="L209" s="249" t="s">
        <v>179</v>
      </c>
      <c r="M209" s="249"/>
      <c r="N209" s="249"/>
      <c r="O209" s="275" t="s">
        <v>180</v>
      </c>
      <c r="P209" s="275"/>
      <c r="Q209" s="274" t="s">
        <v>900</v>
      </c>
      <c r="R209" s="274"/>
      <c r="S209" s="274"/>
      <c r="T209" s="274"/>
      <c r="U209" s="274"/>
    </row>
    <row r="210" spans="1:21" s="248" customFormat="1" ht="24.75" customHeight="1" hidden="1" outlineLevel="1">
      <c r="A210" s="243" t="s">
        <v>180</v>
      </c>
      <c r="B210" s="275" t="s">
        <v>680</v>
      </c>
      <c r="C210" s="275"/>
      <c r="D210" s="275"/>
      <c r="E210" s="273" t="s">
        <v>179</v>
      </c>
      <c r="F210" s="273"/>
      <c r="G210" s="273" t="s">
        <v>773</v>
      </c>
      <c r="H210" s="273"/>
      <c r="I210" s="273" t="s">
        <v>773</v>
      </c>
      <c r="J210" s="273"/>
      <c r="K210" s="273"/>
      <c r="L210" s="249" t="s">
        <v>179</v>
      </c>
      <c r="M210" s="249"/>
      <c r="N210" s="249"/>
      <c r="O210" s="275" t="s">
        <v>180</v>
      </c>
      <c r="P210" s="275"/>
      <c r="Q210" s="274" t="s">
        <v>901</v>
      </c>
      <c r="R210" s="274"/>
      <c r="S210" s="274"/>
      <c r="T210" s="274"/>
      <c r="U210" s="274"/>
    </row>
    <row r="211" spans="1:21" s="248" customFormat="1" ht="24.75" customHeight="1" hidden="1" outlineLevel="1">
      <c r="A211" s="243" t="s">
        <v>180</v>
      </c>
      <c r="B211" s="275" t="s">
        <v>680</v>
      </c>
      <c r="C211" s="275"/>
      <c r="D211" s="275"/>
      <c r="E211" s="273" t="s">
        <v>179</v>
      </c>
      <c r="F211" s="273"/>
      <c r="G211" s="273" t="s">
        <v>771</v>
      </c>
      <c r="H211" s="273"/>
      <c r="I211" s="273" t="s">
        <v>771</v>
      </c>
      <c r="J211" s="273"/>
      <c r="K211" s="273"/>
      <c r="L211" s="249" t="s">
        <v>179</v>
      </c>
      <c r="M211" s="249"/>
      <c r="N211" s="249"/>
      <c r="O211" s="275" t="s">
        <v>180</v>
      </c>
      <c r="P211" s="275"/>
      <c r="Q211" s="274" t="s">
        <v>902</v>
      </c>
      <c r="R211" s="274"/>
      <c r="S211" s="274"/>
      <c r="T211" s="274"/>
      <c r="U211" s="274"/>
    </row>
    <row r="212" spans="1:21" s="248" customFormat="1" ht="24.75" customHeight="1" hidden="1" outlineLevel="1">
      <c r="A212" s="243" t="s">
        <v>180</v>
      </c>
      <c r="B212" s="275" t="s">
        <v>36</v>
      </c>
      <c r="C212" s="275"/>
      <c r="D212" s="275"/>
      <c r="E212" s="273" t="s">
        <v>179</v>
      </c>
      <c r="F212" s="273"/>
      <c r="G212" s="273" t="s">
        <v>798</v>
      </c>
      <c r="H212" s="273"/>
      <c r="I212" s="273" t="s">
        <v>798</v>
      </c>
      <c r="J212" s="273"/>
      <c r="K212" s="273"/>
      <c r="L212" s="249" t="s">
        <v>179</v>
      </c>
      <c r="M212" s="249"/>
      <c r="N212" s="249"/>
      <c r="O212" s="275" t="s">
        <v>180</v>
      </c>
      <c r="P212" s="275"/>
      <c r="Q212" s="274" t="s">
        <v>903</v>
      </c>
      <c r="R212" s="274"/>
      <c r="S212" s="274"/>
      <c r="T212" s="274"/>
      <c r="U212" s="274"/>
    </row>
    <row r="213" spans="1:21" s="248" customFormat="1" ht="24.75" customHeight="1" hidden="1" outlineLevel="1">
      <c r="A213" s="243" t="s">
        <v>180</v>
      </c>
      <c r="B213" s="275" t="s">
        <v>680</v>
      </c>
      <c r="C213" s="275"/>
      <c r="D213" s="275"/>
      <c r="E213" s="273" t="s">
        <v>179</v>
      </c>
      <c r="F213" s="273"/>
      <c r="G213" s="273" t="s">
        <v>260</v>
      </c>
      <c r="H213" s="273"/>
      <c r="I213" s="273" t="s">
        <v>260</v>
      </c>
      <c r="J213" s="273"/>
      <c r="K213" s="273"/>
      <c r="L213" s="249" t="s">
        <v>179</v>
      </c>
      <c r="M213" s="249"/>
      <c r="N213" s="249"/>
      <c r="O213" s="275" t="s">
        <v>180</v>
      </c>
      <c r="P213" s="275"/>
      <c r="Q213" s="274" t="s">
        <v>904</v>
      </c>
      <c r="R213" s="274"/>
      <c r="S213" s="274"/>
      <c r="T213" s="274"/>
      <c r="U213" s="274"/>
    </row>
    <row r="214" spans="1:21" s="248" customFormat="1" ht="24.75" customHeight="1" hidden="1" outlineLevel="1">
      <c r="A214" s="243" t="s">
        <v>180</v>
      </c>
      <c r="B214" s="275" t="s">
        <v>667</v>
      </c>
      <c r="C214" s="275"/>
      <c r="D214" s="275"/>
      <c r="E214" s="273" t="s">
        <v>179</v>
      </c>
      <c r="F214" s="273"/>
      <c r="G214" s="273" t="s">
        <v>663</v>
      </c>
      <c r="H214" s="273"/>
      <c r="I214" s="273" t="s">
        <v>675</v>
      </c>
      <c r="J214" s="273"/>
      <c r="K214" s="273"/>
      <c r="L214" s="249" t="s">
        <v>179</v>
      </c>
      <c r="M214" s="249"/>
      <c r="N214" s="249"/>
      <c r="O214" s="275" t="s">
        <v>180</v>
      </c>
      <c r="P214" s="275"/>
      <c r="Q214" s="274" t="s">
        <v>905</v>
      </c>
      <c r="R214" s="274"/>
      <c r="S214" s="274"/>
      <c r="T214" s="274"/>
      <c r="U214" s="274"/>
    </row>
    <row r="215" spans="1:21" s="248" customFormat="1" ht="24.75" customHeight="1" hidden="1" outlineLevel="1">
      <c r="A215" s="243" t="s">
        <v>180</v>
      </c>
      <c r="B215" s="275" t="s">
        <v>665</v>
      </c>
      <c r="C215" s="275"/>
      <c r="D215" s="275"/>
      <c r="E215" s="273" t="s">
        <v>179</v>
      </c>
      <c r="F215" s="273"/>
      <c r="G215" s="273" t="s">
        <v>675</v>
      </c>
      <c r="H215" s="273"/>
      <c r="I215" s="273" t="s">
        <v>675</v>
      </c>
      <c r="J215" s="273"/>
      <c r="K215" s="273"/>
      <c r="L215" s="249" t="s">
        <v>179</v>
      </c>
      <c r="M215" s="249"/>
      <c r="N215" s="249"/>
      <c r="O215" s="275" t="s">
        <v>180</v>
      </c>
      <c r="P215" s="275"/>
      <c r="Q215" s="274" t="s">
        <v>906</v>
      </c>
      <c r="R215" s="274"/>
      <c r="S215" s="274"/>
      <c r="T215" s="274"/>
      <c r="U215" s="274"/>
    </row>
    <row r="216" spans="1:21" s="248" customFormat="1" ht="24.75" customHeight="1" hidden="1" outlineLevel="1">
      <c r="A216" s="243" t="s">
        <v>180</v>
      </c>
      <c r="B216" s="275" t="s">
        <v>680</v>
      </c>
      <c r="C216" s="275"/>
      <c r="D216" s="275"/>
      <c r="E216" s="273" t="s">
        <v>179</v>
      </c>
      <c r="F216" s="273"/>
      <c r="G216" s="273" t="s">
        <v>907</v>
      </c>
      <c r="H216" s="273"/>
      <c r="I216" s="273" t="s">
        <v>907</v>
      </c>
      <c r="J216" s="273"/>
      <c r="K216" s="273"/>
      <c r="L216" s="249" t="s">
        <v>179</v>
      </c>
      <c r="M216" s="249"/>
      <c r="N216" s="249"/>
      <c r="O216" s="275" t="s">
        <v>180</v>
      </c>
      <c r="P216" s="275"/>
      <c r="Q216" s="274" t="s">
        <v>908</v>
      </c>
      <c r="R216" s="274"/>
      <c r="S216" s="274"/>
      <c r="T216" s="274"/>
      <c r="U216" s="274"/>
    </row>
    <row r="217" spans="1:21" s="248" customFormat="1" ht="24.75" customHeight="1" hidden="1" outlineLevel="1">
      <c r="A217" s="243" t="s">
        <v>180</v>
      </c>
      <c r="B217" s="275" t="s">
        <v>665</v>
      </c>
      <c r="C217" s="275"/>
      <c r="D217" s="275"/>
      <c r="E217" s="273" t="s">
        <v>179</v>
      </c>
      <c r="F217" s="273"/>
      <c r="G217" s="273" t="s">
        <v>822</v>
      </c>
      <c r="H217" s="273"/>
      <c r="I217" s="273" t="s">
        <v>179</v>
      </c>
      <c r="J217" s="273"/>
      <c r="K217" s="273"/>
      <c r="L217" s="249" t="s">
        <v>179</v>
      </c>
      <c r="M217" s="249"/>
      <c r="N217" s="249"/>
      <c r="O217" s="275" t="s">
        <v>180</v>
      </c>
      <c r="P217" s="275"/>
      <c r="Q217" s="274" t="s">
        <v>909</v>
      </c>
      <c r="R217" s="274"/>
      <c r="S217" s="274"/>
      <c r="T217" s="274"/>
      <c r="U217" s="274"/>
    </row>
    <row r="218" spans="1:21" s="248" customFormat="1" ht="24.75" customHeight="1" hidden="1" outlineLevel="1">
      <c r="A218" s="243" t="s">
        <v>180</v>
      </c>
      <c r="B218" s="275" t="s">
        <v>680</v>
      </c>
      <c r="C218" s="275"/>
      <c r="D218" s="275"/>
      <c r="E218" s="273" t="s">
        <v>179</v>
      </c>
      <c r="F218" s="273"/>
      <c r="G218" s="273" t="s">
        <v>773</v>
      </c>
      <c r="H218" s="273"/>
      <c r="I218" s="273" t="s">
        <v>179</v>
      </c>
      <c r="J218" s="273"/>
      <c r="K218" s="273"/>
      <c r="L218" s="249" t="s">
        <v>179</v>
      </c>
      <c r="M218" s="249"/>
      <c r="N218" s="249"/>
      <c r="O218" s="275" t="s">
        <v>180</v>
      </c>
      <c r="P218" s="275"/>
      <c r="Q218" s="274" t="s">
        <v>910</v>
      </c>
      <c r="R218" s="274"/>
      <c r="S218" s="274"/>
      <c r="T218" s="274"/>
      <c r="U218" s="274"/>
    </row>
    <row r="219" spans="1:21" s="248" customFormat="1" ht="19.5" customHeight="1" hidden="1" collapsed="1">
      <c r="A219" s="316" t="s">
        <v>97</v>
      </c>
      <c r="B219" s="316"/>
      <c r="C219" s="316"/>
      <c r="D219" s="316"/>
      <c r="E219" s="273" t="s">
        <v>179</v>
      </c>
      <c r="F219" s="273"/>
      <c r="G219" s="273" t="s">
        <v>911</v>
      </c>
      <c r="H219" s="273"/>
      <c r="I219" s="273" t="s">
        <v>912</v>
      </c>
      <c r="J219" s="273"/>
      <c r="K219" s="273"/>
      <c r="L219" s="249" t="s">
        <v>179</v>
      </c>
      <c r="M219" s="249"/>
      <c r="N219" s="249"/>
      <c r="O219" s="275" t="s">
        <v>180</v>
      </c>
      <c r="P219" s="275"/>
      <c r="Q219" s="274" t="s">
        <v>883</v>
      </c>
      <c r="R219" s="274"/>
      <c r="S219" s="274"/>
      <c r="T219" s="274"/>
      <c r="U219" s="274"/>
    </row>
    <row r="220" spans="1:21" s="248" customFormat="1" ht="19.5" customHeight="1" hidden="1">
      <c r="A220" s="315" t="s">
        <v>913</v>
      </c>
      <c r="B220" s="315"/>
      <c r="C220" s="315"/>
      <c r="D220" s="315"/>
      <c r="E220" s="315"/>
      <c r="F220" s="315"/>
      <c r="G220" s="315"/>
      <c r="H220" s="315"/>
      <c r="I220" s="315"/>
      <c r="J220" s="315"/>
      <c r="K220" s="315"/>
      <c r="L220" s="315"/>
      <c r="M220" s="315"/>
      <c r="N220" s="315"/>
      <c r="O220" s="315"/>
      <c r="P220" s="315"/>
      <c r="Q220" s="315"/>
      <c r="R220" s="315"/>
      <c r="S220" s="315"/>
      <c r="T220" s="315"/>
      <c r="U220" s="315"/>
    </row>
    <row r="221" spans="1:21" s="248" customFormat="1" ht="26.25" customHeight="1" hidden="1">
      <c r="A221" s="243" t="s">
        <v>180</v>
      </c>
      <c r="B221" s="275" t="s">
        <v>665</v>
      </c>
      <c r="C221" s="275"/>
      <c r="D221" s="275"/>
      <c r="E221" s="273" t="s">
        <v>179</v>
      </c>
      <c r="F221" s="273"/>
      <c r="G221" s="273" t="s">
        <v>771</v>
      </c>
      <c r="H221" s="273"/>
      <c r="I221" s="273" t="s">
        <v>771</v>
      </c>
      <c r="J221" s="273"/>
      <c r="K221" s="273"/>
      <c r="L221" s="249" t="s">
        <v>179</v>
      </c>
      <c r="M221" s="249"/>
      <c r="N221" s="249"/>
      <c r="O221" s="275" t="s">
        <v>180</v>
      </c>
      <c r="P221" s="275"/>
      <c r="Q221" s="274" t="s">
        <v>914</v>
      </c>
      <c r="R221" s="274"/>
      <c r="S221" s="274"/>
      <c r="T221" s="274"/>
      <c r="U221" s="274"/>
    </row>
    <row r="222" spans="1:21" s="248" customFormat="1" ht="19.5" customHeight="1" hidden="1">
      <c r="A222" s="316" t="s">
        <v>915</v>
      </c>
      <c r="B222" s="316"/>
      <c r="C222" s="316"/>
      <c r="D222" s="316"/>
      <c r="E222" s="273" t="s">
        <v>179</v>
      </c>
      <c r="F222" s="273"/>
      <c r="G222" s="273" t="s">
        <v>771</v>
      </c>
      <c r="H222" s="273"/>
      <c r="I222" s="273" t="s">
        <v>771</v>
      </c>
      <c r="J222" s="273"/>
      <c r="K222" s="273"/>
      <c r="L222" s="249" t="s">
        <v>179</v>
      </c>
      <c r="M222" s="249"/>
      <c r="N222" s="249"/>
      <c r="O222" s="275" t="s">
        <v>180</v>
      </c>
      <c r="P222" s="275"/>
      <c r="Q222" s="274" t="s">
        <v>180</v>
      </c>
      <c r="R222" s="274"/>
      <c r="S222" s="274"/>
      <c r="T222" s="274"/>
      <c r="U222" s="274"/>
    </row>
    <row r="223" spans="1:21" s="248" customFormat="1" ht="19.5" customHeight="1" hidden="1">
      <c r="A223" s="315" t="s">
        <v>916</v>
      </c>
      <c r="B223" s="315"/>
      <c r="C223" s="315"/>
      <c r="D223" s="315"/>
      <c r="E223" s="315"/>
      <c r="F223" s="315"/>
      <c r="G223" s="315"/>
      <c r="H223" s="315"/>
      <c r="I223" s="315"/>
      <c r="J223" s="315"/>
      <c r="K223" s="315"/>
      <c r="L223" s="315"/>
      <c r="M223" s="315"/>
      <c r="N223" s="315"/>
      <c r="O223" s="315"/>
      <c r="P223" s="315"/>
      <c r="Q223" s="315"/>
      <c r="R223" s="315"/>
      <c r="S223" s="315"/>
      <c r="T223" s="315"/>
      <c r="U223" s="315"/>
    </row>
    <row r="224" spans="1:21" s="248" customFormat="1" ht="24.75" customHeight="1" hidden="1">
      <c r="A224" s="243" t="s">
        <v>180</v>
      </c>
      <c r="B224" s="275" t="s">
        <v>825</v>
      </c>
      <c r="C224" s="275"/>
      <c r="D224" s="275"/>
      <c r="E224" s="273" t="s">
        <v>179</v>
      </c>
      <c r="F224" s="273"/>
      <c r="G224" s="273" t="s">
        <v>260</v>
      </c>
      <c r="H224" s="273"/>
      <c r="I224" s="273" t="s">
        <v>260</v>
      </c>
      <c r="J224" s="273"/>
      <c r="K224" s="273"/>
      <c r="L224" s="249" t="s">
        <v>179</v>
      </c>
      <c r="M224" s="249"/>
      <c r="N224" s="249"/>
      <c r="O224" s="275" t="s">
        <v>180</v>
      </c>
      <c r="P224" s="275"/>
      <c r="Q224" s="274" t="s">
        <v>917</v>
      </c>
      <c r="R224" s="274"/>
      <c r="S224" s="274"/>
      <c r="T224" s="274"/>
      <c r="U224" s="274"/>
    </row>
    <row r="225" spans="1:21" s="248" customFormat="1" ht="19.5" customHeight="1" hidden="1">
      <c r="A225" s="316" t="s">
        <v>918</v>
      </c>
      <c r="B225" s="316"/>
      <c r="C225" s="316"/>
      <c r="D225" s="316"/>
      <c r="E225" s="273" t="s">
        <v>179</v>
      </c>
      <c r="F225" s="273"/>
      <c r="G225" s="273" t="s">
        <v>260</v>
      </c>
      <c r="H225" s="273"/>
      <c r="I225" s="273" t="s">
        <v>260</v>
      </c>
      <c r="J225" s="273"/>
      <c r="K225" s="273"/>
      <c r="L225" s="249" t="s">
        <v>179</v>
      </c>
      <c r="M225" s="249"/>
      <c r="N225" s="249"/>
      <c r="O225" s="275" t="s">
        <v>180</v>
      </c>
      <c r="P225" s="275"/>
      <c r="Q225" s="274" t="s">
        <v>180</v>
      </c>
      <c r="R225" s="274"/>
      <c r="S225" s="274"/>
      <c r="T225" s="274"/>
      <c r="U225" s="274"/>
    </row>
    <row r="226" spans="1:23" s="248" customFormat="1" ht="19.5" customHeight="1">
      <c r="A226" s="317" t="s">
        <v>146</v>
      </c>
      <c r="B226" s="317"/>
      <c r="C226" s="317"/>
      <c r="D226" s="317"/>
      <c r="E226" s="319">
        <v>26845</v>
      </c>
      <c r="F226" s="319"/>
      <c r="G226" s="311">
        <v>51167</v>
      </c>
      <c r="H226" s="311"/>
      <c r="I226" s="311">
        <v>46070</v>
      </c>
      <c r="J226" s="311"/>
      <c r="K226" s="311"/>
      <c r="L226" s="244">
        <v>40252</v>
      </c>
      <c r="M226" s="244">
        <f>E226+20000+4000+1600</f>
        <v>52445</v>
      </c>
      <c r="N226" s="258" t="e">
        <f>N43+N94+#REF!</f>
        <v>#REF!</v>
      </c>
      <c r="O226" s="335">
        <f>O110+O94+O43</f>
        <v>47305</v>
      </c>
      <c r="P226" s="336"/>
      <c r="Q226" s="277"/>
      <c r="R226" s="277"/>
      <c r="S226" s="277"/>
      <c r="T226" s="277"/>
      <c r="U226" s="277"/>
      <c r="W226" s="253"/>
    </row>
    <row r="227" spans="1:21" s="248" customFormat="1" ht="19.5" customHeight="1">
      <c r="A227" s="314" t="s">
        <v>919</v>
      </c>
      <c r="B227" s="314"/>
      <c r="C227" s="314"/>
      <c r="D227" s="314"/>
      <c r="E227" s="314"/>
      <c r="F227" s="314"/>
      <c r="G227" s="314"/>
      <c r="H227" s="314"/>
      <c r="I227" s="314"/>
      <c r="J227" s="314"/>
      <c r="K227" s="314"/>
      <c r="L227" s="314"/>
      <c r="M227" s="314"/>
      <c r="N227" s="314"/>
      <c r="O227" s="314"/>
      <c r="P227" s="314"/>
      <c r="Q227" s="314"/>
      <c r="R227" s="314"/>
      <c r="S227" s="314"/>
      <c r="T227" s="314"/>
      <c r="U227" s="314"/>
    </row>
    <row r="228" spans="1:21" s="248" customFormat="1" ht="19.5" customHeight="1" hidden="1">
      <c r="A228" s="315" t="s">
        <v>14</v>
      </c>
      <c r="B228" s="315"/>
      <c r="C228" s="315"/>
      <c r="D228" s="315"/>
      <c r="E228" s="315"/>
      <c r="F228" s="315"/>
      <c r="G228" s="315"/>
      <c r="H228" s="315"/>
      <c r="I228" s="315"/>
      <c r="J228" s="315"/>
      <c r="K228" s="315"/>
      <c r="L228" s="315"/>
      <c r="M228" s="315"/>
      <c r="N228" s="315"/>
      <c r="O228" s="315"/>
      <c r="P228" s="315"/>
      <c r="Q228" s="315"/>
      <c r="R228" s="315"/>
      <c r="S228" s="315"/>
      <c r="T228" s="315"/>
      <c r="U228" s="315"/>
    </row>
    <row r="229" spans="1:21" s="248" customFormat="1" ht="26.25" customHeight="1" hidden="1">
      <c r="A229" s="243" t="s">
        <v>180</v>
      </c>
      <c r="B229" s="275" t="s">
        <v>667</v>
      </c>
      <c r="C229" s="275"/>
      <c r="D229" s="275"/>
      <c r="E229" s="273" t="s">
        <v>179</v>
      </c>
      <c r="F229" s="273"/>
      <c r="G229" s="273" t="s">
        <v>798</v>
      </c>
      <c r="H229" s="273"/>
      <c r="I229" s="273" t="s">
        <v>798</v>
      </c>
      <c r="J229" s="273"/>
      <c r="K229" s="273"/>
      <c r="L229" s="249" t="s">
        <v>179</v>
      </c>
      <c r="M229" s="249"/>
      <c r="N229" s="249"/>
      <c r="O229" s="275" t="s">
        <v>180</v>
      </c>
      <c r="P229" s="275"/>
      <c r="Q229" s="274" t="s">
        <v>920</v>
      </c>
      <c r="R229" s="274"/>
      <c r="S229" s="274"/>
      <c r="T229" s="274"/>
      <c r="U229" s="274"/>
    </row>
    <row r="230" spans="1:21" s="248" customFormat="1" ht="19.5" customHeight="1" hidden="1">
      <c r="A230" s="315" t="s">
        <v>921</v>
      </c>
      <c r="B230" s="315"/>
      <c r="C230" s="315"/>
      <c r="D230" s="315"/>
      <c r="E230" s="315"/>
      <c r="F230" s="315"/>
      <c r="G230" s="315"/>
      <c r="H230" s="315"/>
      <c r="I230" s="315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5"/>
      <c r="U230" s="315"/>
    </row>
    <row r="231" spans="1:21" s="248" customFormat="1" ht="25.5" customHeight="1" hidden="1">
      <c r="A231" s="243" t="s">
        <v>180</v>
      </c>
      <c r="B231" s="275" t="s">
        <v>34</v>
      </c>
      <c r="C231" s="275"/>
      <c r="D231" s="275"/>
      <c r="E231" s="273" t="s">
        <v>179</v>
      </c>
      <c r="F231" s="273"/>
      <c r="G231" s="273" t="s">
        <v>922</v>
      </c>
      <c r="H231" s="273"/>
      <c r="I231" s="273" t="s">
        <v>922</v>
      </c>
      <c r="J231" s="273"/>
      <c r="K231" s="273"/>
      <c r="L231" s="249" t="s">
        <v>179</v>
      </c>
      <c r="M231" s="249"/>
      <c r="N231" s="249"/>
      <c r="O231" s="275" t="s">
        <v>180</v>
      </c>
      <c r="P231" s="275"/>
      <c r="Q231" s="274" t="s">
        <v>923</v>
      </c>
      <c r="R231" s="274"/>
      <c r="S231" s="274"/>
      <c r="T231" s="274"/>
      <c r="U231" s="274"/>
    </row>
    <row r="232" spans="1:21" s="248" customFormat="1" ht="26.25" customHeight="1" hidden="1">
      <c r="A232" s="243" t="s">
        <v>180</v>
      </c>
      <c r="B232" s="275" t="s">
        <v>825</v>
      </c>
      <c r="C232" s="275"/>
      <c r="D232" s="275"/>
      <c r="E232" s="273" t="s">
        <v>179</v>
      </c>
      <c r="F232" s="273"/>
      <c r="G232" s="273" t="s">
        <v>186</v>
      </c>
      <c r="H232" s="273"/>
      <c r="I232" s="273" t="s">
        <v>186</v>
      </c>
      <c r="J232" s="273"/>
      <c r="K232" s="273"/>
      <c r="L232" s="249" t="s">
        <v>179</v>
      </c>
      <c r="M232" s="249"/>
      <c r="N232" s="249"/>
      <c r="O232" s="275" t="s">
        <v>180</v>
      </c>
      <c r="P232" s="275"/>
      <c r="Q232" s="274" t="s">
        <v>924</v>
      </c>
      <c r="R232" s="274"/>
      <c r="S232" s="274"/>
      <c r="T232" s="274"/>
      <c r="U232" s="274"/>
    </row>
    <row r="233" spans="1:21" s="248" customFormat="1" ht="19.5" customHeight="1" hidden="1">
      <c r="A233" s="315" t="s">
        <v>925</v>
      </c>
      <c r="B233" s="315"/>
      <c r="C233" s="315"/>
      <c r="D233" s="315"/>
      <c r="E233" s="315"/>
      <c r="F233" s="315"/>
      <c r="G233" s="315"/>
      <c r="H233" s="315"/>
      <c r="I233" s="315"/>
      <c r="J233" s="315"/>
      <c r="K233" s="315"/>
      <c r="L233" s="315"/>
      <c r="M233" s="315"/>
      <c r="N233" s="315"/>
      <c r="O233" s="315"/>
      <c r="P233" s="315"/>
      <c r="Q233" s="315"/>
      <c r="R233" s="315"/>
      <c r="S233" s="315"/>
      <c r="T233" s="315"/>
      <c r="U233" s="315"/>
    </row>
    <row r="234" spans="1:21" s="248" customFormat="1" ht="24.75" customHeight="1" hidden="1">
      <c r="A234" s="243" t="s">
        <v>180</v>
      </c>
      <c r="B234" s="275" t="s">
        <v>667</v>
      </c>
      <c r="C234" s="275"/>
      <c r="D234" s="275"/>
      <c r="E234" s="273" t="s">
        <v>179</v>
      </c>
      <c r="F234" s="273"/>
      <c r="G234" s="273" t="s">
        <v>186</v>
      </c>
      <c r="H234" s="273"/>
      <c r="I234" s="273" t="s">
        <v>186</v>
      </c>
      <c r="J234" s="273"/>
      <c r="K234" s="273"/>
      <c r="L234" s="249" t="s">
        <v>179</v>
      </c>
      <c r="M234" s="249"/>
      <c r="N234" s="249"/>
      <c r="O234" s="275" t="s">
        <v>180</v>
      </c>
      <c r="P234" s="275"/>
      <c r="Q234" s="274" t="s">
        <v>920</v>
      </c>
      <c r="R234" s="274"/>
      <c r="S234" s="274"/>
      <c r="T234" s="274"/>
      <c r="U234" s="274"/>
    </row>
    <row r="235" spans="1:21" s="248" customFormat="1" ht="19.5" customHeight="1" hidden="1">
      <c r="A235" s="315" t="s">
        <v>926</v>
      </c>
      <c r="B235" s="315"/>
      <c r="C235" s="315"/>
      <c r="D235" s="315"/>
      <c r="E235" s="315"/>
      <c r="F235" s="315"/>
      <c r="G235" s="315"/>
      <c r="H235" s="315"/>
      <c r="I235" s="315"/>
      <c r="J235" s="315"/>
      <c r="K235" s="315"/>
      <c r="L235" s="315"/>
      <c r="M235" s="315"/>
      <c r="N235" s="315"/>
      <c r="O235" s="315"/>
      <c r="P235" s="315"/>
      <c r="Q235" s="315"/>
      <c r="R235" s="315"/>
      <c r="S235" s="315"/>
      <c r="T235" s="315"/>
      <c r="U235" s="315"/>
    </row>
    <row r="236" spans="1:21" s="248" customFormat="1" ht="26.25" customHeight="1" hidden="1">
      <c r="A236" s="243" t="s">
        <v>180</v>
      </c>
      <c r="B236" s="275" t="s">
        <v>825</v>
      </c>
      <c r="C236" s="275"/>
      <c r="D236" s="275"/>
      <c r="E236" s="273" t="s">
        <v>179</v>
      </c>
      <c r="F236" s="273"/>
      <c r="G236" s="273" t="s">
        <v>186</v>
      </c>
      <c r="H236" s="273"/>
      <c r="I236" s="273" t="s">
        <v>186</v>
      </c>
      <c r="J236" s="273"/>
      <c r="K236" s="273"/>
      <c r="L236" s="249" t="s">
        <v>179</v>
      </c>
      <c r="M236" s="249"/>
      <c r="N236" s="249"/>
      <c r="O236" s="275" t="s">
        <v>180</v>
      </c>
      <c r="P236" s="275"/>
      <c r="Q236" s="274" t="s">
        <v>927</v>
      </c>
      <c r="R236" s="274"/>
      <c r="S236" s="274"/>
      <c r="T236" s="274"/>
      <c r="U236" s="274"/>
    </row>
    <row r="237" spans="1:21" s="248" customFormat="1" ht="19.5" customHeight="1" hidden="1">
      <c r="A237" s="315" t="s">
        <v>928</v>
      </c>
      <c r="B237" s="315"/>
      <c r="C237" s="315"/>
      <c r="D237" s="315"/>
      <c r="E237" s="315"/>
      <c r="F237" s="315"/>
      <c r="G237" s="315"/>
      <c r="H237" s="315"/>
      <c r="I237" s="315"/>
      <c r="J237" s="315"/>
      <c r="K237" s="315"/>
      <c r="L237" s="315"/>
      <c r="M237" s="315"/>
      <c r="N237" s="315"/>
      <c r="O237" s="315"/>
      <c r="P237" s="315"/>
      <c r="Q237" s="315"/>
      <c r="R237" s="315"/>
      <c r="S237" s="315"/>
      <c r="T237" s="315"/>
      <c r="U237" s="315"/>
    </row>
    <row r="238" spans="1:21" s="248" customFormat="1" ht="26.25" customHeight="1" hidden="1">
      <c r="A238" s="243" t="s">
        <v>180</v>
      </c>
      <c r="B238" s="275" t="s">
        <v>825</v>
      </c>
      <c r="C238" s="275"/>
      <c r="D238" s="275"/>
      <c r="E238" s="273" t="s">
        <v>179</v>
      </c>
      <c r="F238" s="273"/>
      <c r="G238" s="273" t="s">
        <v>186</v>
      </c>
      <c r="H238" s="273"/>
      <c r="I238" s="273" t="s">
        <v>179</v>
      </c>
      <c r="J238" s="273"/>
      <c r="K238" s="273"/>
      <c r="L238" s="249" t="s">
        <v>179</v>
      </c>
      <c r="M238" s="249"/>
      <c r="N238" s="249"/>
      <c r="O238" s="275" t="s">
        <v>180</v>
      </c>
      <c r="P238" s="275"/>
      <c r="Q238" s="274" t="s">
        <v>927</v>
      </c>
      <c r="R238" s="274"/>
      <c r="S238" s="274"/>
      <c r="T238" s="274"/>
      <c r="U238" s="274"/>
    </row>
    <row r="239" spans="1:21" s="248" customFormat="1" ht="19.5" customHeight="1" hidden="1">
      <c r="A239" s="315" t="s">
        <v>804</v>
      </c>
      <c r="B239" s="315"/>
      <c r="C239" s="315"/>
      <c r="D239" s="315"/>
      <c r="E239" s="315"/>
      <c r="F239" s="315"/>
      <c r="G239" s="315"/>
      <c r="H239" s="315"/>
      <c r="I239" s="315"/>
      <c r="J239" s="315"/>
      <c r="K239" s="315"/>
      <c r="L239" s="315"/>
      <c r="M239" s="315"/>
      <c r="N239" s="315"/>
      <c r="O239" s="315"/>
      <c r="P239" s="315"/>
      <c r="Q239" s="315"/>
      <c r="R239" s="315"/>
      <c r="S239" s="315"/>
      <c r="T239" s="315"/>
      <c r="U239" s="315"/>
    </row>
    <row r="240" spans="1:21" s="248" customFormat="1" ht="19.5" customHeight="1" hidden="1">
      <c r="A240" s="243" t="s">
        <v>180</v>
      </c>
      <c r="B240" s="275" t="s">
        <v>687</v>
      </c>
      <c r="C240" s="275"/>
      <c r="D240" s="275"/>
      <c r="E240" s="273" t="s">
        <v>179</v>
      </c>
      <c r="F240" s="273"/>
      <c r="G240" s="273" t="s">
        <v>188</v>
      </c>
      <c r="H240" s="273"/>
      <c r="I240" s="273" t="s">
        <v>179</v>
      </c>
      <c r="J240" s="273"/>
      <c r="K240" s="273"/>
      <c r="L240" s="249" t="s">
        <v>179</v>
      </c>
      <c r="M240" s="249"/>
      <c r="N240" s="249"/>
      <c r="O240" s="275" t="s">
        <v>180</v>
      </c>
      <c r="P240" s="275"/>
      <c r="Q240" s="274" t="s">
        <v>180</v>
      </c>
      <c r="R240" s="274"/>
      <c r="S240" s="274"/>
      <c r="T240" s="274"/>
      <c r="U240" s="274"/>
    </row>
    <row r="241" spans="1:21" s="248" customFormat="1" ht="19.5" customHeight="1" hidden="1">
      <c r="A241" s="315" t="s">
        <v>544</v>
      </c>
      <c r="B241" s="315"/>
      <c r="C241" s="315"/>
      <c r="D241" s="315"/>
      <c r="E241" s="315"/>
      <c r="F241" s="315"/>
      <c r="G241" s="315"/>
      <c r="H241" s="315"/>
      <c r="I241" s="315"/>
      <c r="J241" s="315"/>
      <c r="K241" s="315"/>
      <c r="L241" s="315"/>
      <c r="M241" s="315"/>
      <c r="N241" s="315"/>
      <c r="O241" s="315"/>
      <c r="P241" s="315"/>
      <c r="Q241" s="315"/>
      <c r="R241" s="315"/>
      <c r="S241" s="315"/>
      <c r="T241" s="315"/>
      <c r="U241" s="315"/>
    </row>
    <row r="242" spans="1:21" s="248" customFormat="1" ht="24" customHeight="1" hidden="1">
      <c r="A242" s="243" t="s">
        <v>180</v>
      </c>
      <c r="B242" s="275" t="s">
        <v>665</v>
      </c>
      <c r="C242" s="275"/>
      <c r="D242" s="275"/>
      <c r="E242" s="273" t="s">
        <v>179</v>
      </c>
      <c r="F242" s="273"/>
      <c r="G242" s="273" t="s">
        <v>185</v>
      </c>
      <c r="H242" s="273"/>
      <c r="I242" s="273" t="s">
        <v>185</v>
      </c>
      <c r="J242" s="273"/>
      <c r="K242" s="273"/>
      <c r="L242" s="249" t="s">
        <v>179</v>
      </c>
      <c r="M242" s="249"/>
      <c r="N242" s="249"/>
      <c r="O242" s="275" t="s">
        <v>180</v>
      </c>
      <c r="P242" s="275"/>
      <c r="Q242" s="274" t="s">
        <v>927</v>
      </c>
      <c r="R242" s="274"/>
      <c r="S242" s="274"/>
      <c r="T242" s="274"/>
      <c r="U242" s="274"/>
    </row>
    <row r="243" spans="1:21" s="248" customFormat="1" ht="24.75" customHeight="1" hidden="1">
      <c r="A243" s="243" t="s">
        <v>180</v>
      </c>
      <c r="B243" s="275" t="s">
        <v>680</v>
      </c>
      <c r="C243" s="275"/>
      <c r="D243" s="275"/>
      <c r="E243" s="273" t="s">
        <v>179</v>
      </c>
      <c r="F243" s="273"/>
      <c r="G243" s="273" t="s">
        <v>929</v>
      </c>
      <c r="H243" s="273"/>
      <c r="I243" s="273" t="s">
        <v>194</v>
      </c>
      <c r="J243" s="273"/>
      <c r="K243" s="273"/>
      <c r="L243" s="249" t="s">
        <v>179</v>
      </c>
      <c r="M243" s="249"/>
      <c r="N243" s="249"/>
      <c r="O243" s="275" t="s">
        <v>180</v>
      </c>
      <c r="P243" s="275"/>
      <c r="Q243" s="274" t="s">
        <v>927</v>
      </c>
      <c r="R243" s="274"/>
      <c r="S243" s="274"/>
      <c r="T243" s="274"/>
      <c r="U243" s="274"/>
    </row>
    <row r="244" spans="1:21" s="248" customFormat="1" ht="19.5" customHeight="1" hidden="1">
      <c r="A244" s="315" t="s">
        <v>930</v>
      </c>
      <c r="B244" s="315"/>
      <c r="C244" s="315"/>
      <c r="D244" s="315"/>
      <c r="E244" s="315"/>
      <c r="F244" s="315"/>
      <c r="G244" s="315"/>
      <c r="H244" s="315"/>
      <c r="I244" s="315"/>
      <c r="J244" s="315"/>
      <c r="K244" s="315"/>
      <c r="L244" s="315"/>
      <c r="M244" s="315"/>
      <c r="N244" s="315"/>
      <c r="O244" s="315"/>
      <c r="P244" s="315"/>
      <c r="Q244" s="315"/>
      <c r="R244" s="315"/>
      <c r="S244" s="315"/>
      <c r="T244" s="315"/>
      <c r="U244" s="315"/>
    </row>
    <row r="245" spans="1:21" s="248" customFormat="1" ht="27.75" customHeight="1" hidden="1">
      <c r="A245" s="243" t="s">
        <v>180</v>
      </c>
      <c r="B245" s="275" t="s">
        <v>669</v>
      </c>
      <c r="C245" s="275"/>
      <c r="D245" s="275"/>
      <c r="E245" s="273" t="s">
        <v>179</v>
      </c>
      <c r="F245" s="273"/>
      <c r="G245" s="273" t="s">
        <v>194</v>
      </c>
      <c r="H245" s="273"/>
      <c r="I245" s="273" t="s">
        <v>798</v>
      </c>
      <c r="J245" s="273"/>
      <c r="K245" s="273"/>
      <c r="L245" s="249" t="s">
        <v>179</v>
      </c>
      <c r="M245" s="249"/>
      <c r="N245" s="249"/>
      <c r="O245" s="275" t="s">
        <v>180</v>
      </c>
      <c r="P245" s="275"/>
      <c r="Q245" s="274" t="s">
        <v>927</v>
      </c>
      <c r="R245" s="274"/>
      <c r="S245" s="274"/>
      <c r="T245" s="274"/>
      <c r="U245" s="274"/>
    </row>
    <row r="246" spans="1:21" s="248" customFormat="1" ht="19.5" customHeight="1" hidden="1">
      <c r="A246" s="315" t="s">
        <v>95</v>
      </c>
      <c r="B246" s="315"/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315"/>
      <c r="O246" s="315"/>
      <c r="P246" s="315"/>
      <c r="Q246" s="315"/>
      <c r="R246" s="315"/>
      <c r="S246" s="315"/>
      <c r="T246" s="315"/>
      <c r="U246" s="315"/>
    </row>
    <row r="247" spans="1:21" s="248" customFormat="1" ht="23.25" customHeight="1" hidden="1">
      <c r="A247" s="243" t="s">
        <v>180</v>
      </c>
      <c r="B247" s="275" t="s">
        <v>665</v>
      </c>
      <c r="C247" s="275"/>
      <c r="D247" s="275"/>
      <c r="E247" s="273" t="s">
        <v>179</v>
      </c>
      <c r="F247" s="273"/>
      <c r="G247" s="273" t="s">
        <v>194</v>
      </c>
      <c r="H247" s="273"/>
      <c r="I247" s="273" t="s">
        <v>194</v>
      </c>
      <c r="J247" s="273"/>
      <c r="K247" s="273"/>
      <c r="L247" s="249" t="s">
        <v>179</v>
      </c>
      <c r="M247" s="249"/>
      <c r="N247" s="249"/>
      <c r="O247" s="275" t="s">
        <v>180</v>
      </c>
      <c r="P247" s="275"/>
      <c r="Q247" s="274" t="s">
        <v>927</v>
      </c>
      <c r="R247" s="274"/>
      <c r="S247" s="274"/>
      <c r="T247" s="274"/>
      <c r="U247" s="274"/>
    </row>
    <row r="248" spans="1:21" s="248" customFormat="1" ht="25.5" customHeight="1" hidden="1">
      <c r="A248" s="243" t="s">
        <v>180</v>
      </c>
      <c r="B248" s="275" t="s">
        <v>680</v>
      </c>
      <c r="C248" s="275"/>
      <c r="D248" s="275"/>
      <c r="E248" s="273" t="s">
        <v>179</v>
      </c>
      <c r="F248" s="273"/>
      <c r="G248" s="273" t="s">
        <v>278</v>
      </c>
      <c r="H248" s="273"/>
      <c r="I248" s="273" t="s">
        <v>278</v>
      </c>
      <c r="J248" s="273"/>
      <c r="K248" s="273"/>
      <c r="L248" s="249" t="s">
        <v>179</v>
      </c>
      <c r="M248" s="249"/>
      <c r="N248" s="249"/>
      <c r="O248" s="275" t="s">
        <v>180</v>
      </c>
      <c r="P248" s="275"/>
      <c r="Q248" s="274" t="s">
        <v>927</v>
      </c>
      <c r="R248" s="274"/>
      <c r="S248" s="274"/>
      <c r="T248" s="274"/>
      <c r="U248" s="274"/>
    </row>
    <row r="249" spans="1:21" s="248" customFormat="1" ht="19.5" customHeight="1" hidden="1">
      <c r="A249" s="315" t="s">
        <v>389</v>
      </c>
      <c r="B249" s="315"/>
      <c r="C249" s="315"/>
      <c r="D249" s="315"/>
      <c r="E249" s="315"/>
      <c r="F249" s="315"/>
      <c r="G249" s="315"/>
      <c r="H249" s="315"/>
      <c r="I249" s="315"/>
      <c r="J249" s="315"/>
      <c r="K249" s="315"/>
      <c r="L249" s="315"/>
      <c r="M249" s="315"/>
      <c r="N249" s="315"/>
      <c r="O249" s="315"/>
      <c r="P249" s="315"/>
      <c r="Q249" s="315"/>
      <c r="R249" s="315"/>
      <c r="S249" s="315"/>
      <c r="T249" s="315"/>
      <c r="U249" s="315"/>
    </row>
    <row r="250" spans="1:21" s="248" customFormat="1" ht="19.5" customHeight="1" hidden="1">
      <c r="A250" s="243" t="s">
        <v>180</v>
      </c>
      <c r="B250" s="275" t="s">
        <v>680</v>
      </c>
      <c r="C250" s="275"/>
      <c r="D250" s="275"/>
      <c r="E250" s="273" t="s">
        <v>179</v>
      </c>
      <c r="F250" s="273"/>
      <c r="G250" s="273" t="s">
        <v>931</v>
      </c>
      <c r="H250" s="273"/>
      <c r="I250" s="273" t="s">
        <v>277</v>
      </c>
      <c r="J250" s="273"/>
      <c r="K250" s="273"/>
      <c r="L250" s="249" t="s">
        <v>179</v>
      </c>
      <c r="M250" s="249"/>
      <c r="N250" s="249"/>
      <c r="O250" s="275" t="s">
        <v>180</v>
      </c>
      <c r="P250" s="275"/>
      <c r="Q250" s="274" t="s">
        <v>927</v>
      </c>
      <c r="R250" s="274"/>
      <c r="S250" s="274"/>
      <c r="T250" s="274"/>
      <c r="U250" s="274"/>
    </row>
    <row r="251" spans="1:21" s="248" customFormat="1" ht="19.5" customHeight="1" hidden="1">
      <c r="A251" s="315" t="s">
        <v>913</v>
      </c>
      <c r="B251" s="315"/>
      <c r="C251" s="315"/>
      <c r="D251" s="315"/>
      <c r="E251" s="315"/>
      <c r="F251" s="315"/>
      <c r="G251" s="315"/>
      <c r="H251" s="315"/>
      <c r="I251" s="315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5"/>
      <c r="U251" s="315"/>
    </row>
    <row r="252" spans="1:21" s="248" customFormat="1" ht="24" customHeight="1" hidden="1">
      <c r="A252" s="243" t="s">
        <v>180</v>
      </c>
      <c r="B252" s="275" t="s">
        <v>680</v>
      </c>
      <c r="C252" s="275"/>
      <c r="D252" s="275"/>
      <c r="E252" s="273" t="s">
        <v>179</v>
      </c>
      <c r="F252" s="273"/>
      <c r="G252" s="273" t="s">
        <v>220</v>
      </c>
      <c r="H252" s="273"/>
      <c r="I252" s="273" t="s">
        <v>932</v>
      </c>
      <c r="J252" s="273"/>
      <c r="K252" s="273"/>
      <c r="L252" s="249" t="s">
        <v>179</v>
      </c>
      <c r="M252" s="249"/>
      <c r="N252" s="249"/>
      <c r="O252" s="275" t="s">
        <v>180</v>
      </c>
      <c r="P252" s="275"/>
      <c r="Q252" s="274" t="s">
        <v>927</v>
      </c>
      <c r="R252" s="274"/>
      <c r="S252" s="274"/>
      <c r="T252" s="274"/>
      <c r="U252" s="274"/>
    </row>
    <row r="253" spans="1:21" s="248" customFormat="1" ht="27" customHeight="1" hidden="1">
      <c r="A253" s="243" t="s">
        <v>180</v>
      </c>
      <c r="B253" s="275" t="s">
        <v>34</v>
      </c>
      <c r="C253" s="275"/>
      <c r="D253" s="275"/>
      <c r="E253" s="273" t="s">
        <v>179</v>
      </c>
      <c r="F253" s="273"/>
      <c r="G253" s="273" t="s">
        <v>186</v>
      </c>
      <c r="H253" s="273"/>
      <c r="I253" s="273" t="s">
        <v>186</v>
      </c>
      <c r="J253" s="273"/>
      <c r="K253" s="273"/>
      <c r="L253" s="249" t="s">
        <v>179</v>
      </c>
      <c r="M253" s="249"/>
      <c r="N253" s="249"/>
      <c r="O253" s="275" t="s">
        <v>180</v>
      </c>
      <c r="P253" s="275"/>
      <c r="Q253" s="274" t="s">
        <v>923</v>
      </c>
      <c r="R253" s="274"/>
      <c r="S253" s="274"/>
      <c r="T253" s="274"/>
      <c r="U253" s="274"/>
    </row>
    <row r="254" spans="1:21" s="248" customFormat="1" ht="19.5" customHeight="1" hidden="1">
      <c r="A254" s="315" t="s">
        <v>933</v>
      </c>
      <c r="B254" s="315"/>
      <c r="C254" s="315"/>
      <c r="D254" s="315"/>
      <c r="E254" s="315"/>
      <c r="F254" s="315"/>
      <c r="G254" s="315"/>
      <c r="H254" s="315"/>
      <c r="I254" s="315"/>
      <c r="J254" s="315"/>
      <c r="K254" s="315"/>
      <c r="L254" s="315"/>
      <c r="M254" s="315"/>
      <c r="N254" s="315"/>
      <c r="O254" s="315"/>
      <c r="P254" s="315"/>
      <c r="Q254" s="315"/>
      <c r="R254" s="315"/>
      <c r="S254" s="315"/>
      <c r="T254" s="315"/>
      <c r="U254" s="315"/>
    </row>
    <row r="255" spans="1:21" s="248" customFormat="1" ht="23.25" customHeight="1" hidden="1">
      <c r="A255" s="243" t="s">
        <v>180</v>
      </c>
      <c r="B255" s="275" t="s">
        <v>825</v>
      </c>
      <c r="C255" s="275"/>
      <c r="D255" s="275"/>
      <c r="E255" s="273" t="s">
        <v>179</v>
      </c>
      <c r="F255" s="273"/>
      <c r="G255" s="273" t="s">
        <v>186</v>
      </c>
      <c r="H255" s="273"/>
      <c r="I255" s="273" t="s">
        <v>186</v>
      </c>
      <c r="J255" s="273"/>
      <c r="K255" s="273"/>
      <c r="L255" s="249" t="s">
        <v>179</v>
      </c>
      <c r="M255" s="249"/>
      <c r="N255" s="249"/>
      <c r="O255" s="275" t="s">
        <v>180</v>
      </c>
      <c r="P255" s="275"/>
      <c r="Q255" s="274" t="s">
        <v>927</v>
      </c>
      <c r="R255" s="274"/>
      <c r="S255" s="274"/>
      <c r="T255" s="274"/>
      <c r="U255" s="274"/>
    </row>
    <row r="256" spans="1:21" s="248" customFormat="1" ht="19.5" customHeight="1" hidden="1">
      <c r="A256" s="315" t="s">
        <v>934</v>
      </c>
      <c r="B256" s="315"/>
      <c r="C256" s="315"/>
      <c r="D256" s="315"/>
      <c r="E256" s="315"/>
      <c r="F256" s="315"/>
      <c r="G256" s="315"/>
      <c r="H256" s="315"/>
      <c r="I256" s="315"/>
      <c r="J256" s="315"/>
      <c r="K256" s="315"/>
      <c r="L256" s="315"/>
      <c r="M256" s="315"/>
      <c r="N256" s="315"/>
      <c r="O256" s="315"/>
      <c r="P256" s="315"/>
      <c r="Q256" s="315"/>
      <c r="R256" s="315"/>
      <c r="S256" s="315"/>
      <c r="T256" s="315"/>
      <c r="U256" s="315"/>
    </row>
    <row r="257" spans="1:21" s="248" customFormat="1" ht="25.5" customHeight="1" hidden="1">
      <c r="A257" s="243" t="s">
        <v>180</v>
      </c>
      <c r="B257" s="275" t="s">
        <v>680</v>
      </c>
      <c r="C257" s="275"/>
      <c r="D257" s="275"/>
      <c r="E257" s="273" t="s">
        <v>179</v>
      </c>
      <c r="F257" s="273"/>
      <c r="G257" s="273" t="s">
        <v>773</v>
      </c>
      <c r="H257" s="273"/>
      <c r="I257" s="273" t="s">
        <v>773</v>
      </c>
      <c r="J257" s="273"/>
      <c r="K257" s="273"/>
      <c r="L257" s="249" t="s">
        <v>179</v>
      </c>
      <c r="M257" s="249"/>
      <c r="N257" s="249"/>
      <c r="O257" s="275" t="s">
        <v>180</v>
      </c>
      <c r="P257" s="275"/>
      <c r="Q257" s="274" t="s">
        <v>927</v>
      </c>
      <c r="R257" s="274"/>
      <c r="S257" s="274"/>
      <c r="T257" s="274"/>
      <c r="U257" s="274"/>
    </row>
    <row r="258" spans="1:21" s="248" customFormat="1" ht="19.5" customHeight="1" hidden="1">
      <c r="A258" s="315" t="s">
        <v>921</v>
      </c>
      <c r="B258" s="315"/>
      <c r="C258" s="315"/>
      <c r="D258" s="315"/>
      <c r="E258" s="315"/>
      <c r="F258" s="315"/>
      <c r="G258" s="315"/>
      <c r="H258" s="315"/>
      <c r="I258" s="315"/>
      <c r="J258" s="315"/>
      <c r="K258" s="315"/>
      <c r="L258" s="315"/>
      <c r="M258" s="315"/>
      <c r="N258" s="315"/>
      <c r="O258" s="315"/>
      <c r="P258" s="315"/>
      <c r="Q258" s="315"/>
      <c r="R258" s="315"/>
      <c r="S258" s="315"/>
      <c r="T258" s="315"/>
      <c r="U258" s="315"/>
    </row>
    <row r="259" spans="1:21" s="248" customFormat="1" ht="24" customHeight="1" hidden="1">
      <c r="A259" s="243" t="s">
        <v>180</v>
      </c>
      <c r="B259" s="275" t="s">
        <v>34</v>
      </c>
      <c r="C259" s="275"/>
      <c r="D259" s="275"/>
      <c r="E259" s="273" t="s">
        <v>179</v>
      </c>
      <c r="F259" s="273"/>
      <c r="G259" s="273" t="s">
        <v>798</v>
      </c>
      <c r="H259" s="273"/>
      <c r="I259" s="273" t="s">
        <v>798</v>
      </c>
      <c r="J259" s="273"/>
      <c r="K259" s="273"/>
      <c r="L259" s="249" t="s">
        <v>179</v>
      </c>
      <c r="M259" s="249"/>
      <c r="N259" s="249"/>
      <c r="O259" s="275" t="s">
        <v>180</v>
      </c>
      <c r="P259" s="275"/>
      <c r="Q259" s="274" t="s">
        <v>935</v>
      </c>
      <c r="R259" s="274"/>
      <c r="S259" s="274"/>
      <c r="T259" s="274"/>
      <c r="U259" s="274"/>
    </row>
    <row r="260" spans="1:21" s="248" customFormat="1" ht="19.5" customHeight="1" hidden="1">
      <c r="A260" s="315" t="s">
        <v>925</v>
      </c>
      <c r="B260" s="315"/>
      <c r="C260" s="315"/>
      <c r="D260" s="315"/>
      <c r="E260" s="315"/>
      <c r="F260" s="315"/>
      <c r="G260" s="315"/>
      <c r="H260" s="315"/>
      <c r="I260" s="315"/>
      <c r="J260" s="315"/>
      <c r="K260" s="315"/>
      <c r="L260" s="315"/>
      <c r="M260" s="315"/>
      <c r="N260" s="315"/>
      <c r="O260" s="315"/>
      <c r="P260" s="315"/>
      <c r="Q260" s="315"/>
      <c r="R260" s="315"/>
      <c r="S260" s="315"/>
      <c r="T260" s="315"/>
      <c r="U260" s="315"/>
    </row>
    <row r="261" spans="1:21" s="248" customFormat="1" ht="22.5" customHeight="1" hidden="1">
      <c r="A261" s="243" t="s">
        <v>180</v>
      </c>
      <c r="B261" s="275" t="s">
        <v>825</v>
      </c>
      <c r="C261" s="275"/>
      <c r="D261" s="275"/>
      <c r="E261" s="273" t="s">
        <v>179</v>
      </c>
      <c r="F261" s="273"/>
      <c r="G261" s="273" t="s">
        <v>773</v>
      </c>
      <c r="H261" s="273"/>
      <c r="I261" s="273" t="s">
        <v>773</v>
      </c>
      <c r="J261" s="273"/>
      <c r="K261" s="273"/>
      <c r="L261" s="249" t="s">
        <v>179</v>
      </c>
      <c r="M261" s="249"/>
      <c r="N261" s="249"/>
      <c r="O261" s="275" t="s">
        <v>180</v>
      </c>
      <c r="P261" s="275"/>
      <c r="Q261" s="274" t="s">
        <v>935</v>
      </c>
      <c r="R261" s="274"/>
      <c r="S261" s="274"/>
      <c r="T261" s="274"/>
      <c r="U261" s="274"/>
    </row>
    <row r="262" spans="1:21" s="248" customFormat="1" ht="19.5" customHeight="1" hidden="1">
      <c r="A262" s="315" t="s">
        <v>926</v>
      </c>
      <c r="B262" s="315"/>
      <c r="C262" s="315"/>
      <c r="D262" s="315"/>
      <c r="E262" s="315"/>
      <c r="F262" s="315"/>
      <c r="G262" s="315"/>
      <c r="H262" s="315"/>
      <c r="I262" s="315"/>
      <c r="J262" s="315"/>
      <c r="K262" s="315"/>
      <c r="L262" s="315"/>
      <c r="M262" s="315"/>
      <c r="N262" s="315"/>
      <c r="O262" s="315"/>
      <c r="P262" s="315"/>
      <c r="Q262" s="315"/>
      <c r="R262" s="315"/>
      <c r="S262" s="315"/>
      <c r="T262" s="315"/>
      <c r="U262" s="315"/>
    </row>
    <row r="263" spans="1:21" s="248" customFormat="1" ht="27.75" customHeight="1" hidden="1">
      <c r="A263" s="243" t="s">
        <v>180</v>
      </c>
      <c r="B263" s="275" t="s">
        <v>825</v>
      </c>
      <c r="C263" s="275"/>
      <c r="D263" s="275"/>
      <c r="E263" s="273" t="s">
        <v>179</v>
      </c>
      <c r="F263" s="273"/>
      <c r="G263" s="273" t="s">
        <v>185</v>
      </c>
      <c r="H263" s="273"/>
      <c r="I263" s="273" t="s">
        <v>185</v>
      </c>
      <c r="J263" s="273"/>
      <c r="K263" s="273"/>
      <c r="L263" s="249" t="s">
        <v>179</v>
      </c>
      <c r="M263" s="249"/>
      <c r="N263" s="249"/>
      <c r="O263" s="275" t="s">
        <v>180</v>
      </c>
      <c r="P263" s="275"/>
      <c r="Q263" s="274" t="s">
        <v>936</v>
      </c>
      <c r="R263" s="274"/>
      <c r="S263" s="274"/>
      <c r="T263" s="274"/>
      <c r="U263" s="274"/>
    </row>
    <row r="264" spans="1:21" s="248" customFormat="1" ht="19.5" customHeight="1" hidden="1">
      <c r="A264" s="315" t="s">
        <v>928</v>
      </c>
      <c r="B264" s="315"/>
      <c r="C264" s="315"/>
      <c r="D264" s="315"/>
      <c r="E264" s="315"/>
      <c r="F264" s="315"/>
      <c r="G264" s="315"/>
      <c r="H264" s="315"/>
      <c r="I264" s="315"/>
      <c r="J264" s="315"/>
      <c r="K264" s="315"/>
      <c r="L264" s="315"/>
      <c r="M264" s="315"/>
      <c r="N264" s="315"/>
      <c r="O264" s="315"/>
      <c r="P264" s="315"/>
      <c r="Q264" s="315"/>
      <c r="R264" s="315"/>
      <c r="S264" s="315"/>
      <c r="T264" s="315"/>
      <c r="U264" s="315"/>
    </row>
    <row r="265" spans="1:21" s="248" customFormat="1" ht="24.75" customHeight="1" hidden="1">
      <c r="A265" s="243" t="s">
        <v>180</v>
      </c>
      <c r="B265" s="275" t="s">
        <v>825</v>
      </c>
      <c r="C265" s="275"/>
      <c r="D265" s="275"/>
      <c r="E265" s="273" t="s">
        <v>179</v>
      </c>
      <c r="F265" s="273"/>
      <c r="G265" s="273" t="s">
        <v>798</v>
      </c>
      <c r="H265" s="273"/>
      <c r="I265" s="273" t="s">
        <v>798</v>
      </c>
      <c r="J265" s="273"/>
      <c r="K265" s="273"/>
      <c r="L265" s="249" t="s">
        <v>179</v>
      </c>
      <c r="M265" s="249"/>
      <c r="N265" s="249"/>
      <c r="O265" s="275" t="s">
        <v>180</v>
      </c>
      <c r="P265" s="275"/>
      <c r="Q265" s="274" t="s">
        <v>936</v>
      </c>
      <c r="R265" s="274"/>
      <c r="S265" s="274"/>
      <c r="T265" s="274"/>
      <c r="U265" s="274"/>
    </row>
    <row r="266" spans="1:21" s="248" customFormat="1" ht="19.5" customHeight="1" hidden="1">
      <c r="A266" s="315" t="s">
        <v>544</v>
      </c>
      <c r="B266" s="315"/>
      <c r="C266" s="315"/>
      <c r="D266" s="315"/>
      <c r="E266" s="315"/>
      <c r="F266" s="315"/>
      <c r="G266" s="315"/>
      <c r="H266" s="315"/>
      <c r="I266" s="315"/>
      <c r="J266" s="315"/>
      <c r="K266" s="315"/>
      <c r="L266" s="315"/>
      <c r="M266" s="315"/>
      <c r="N266" s="315"/>
      <c r="O266" s="315"/>
      <c r="P266" s="315"/>
      <c r="Q266" s="315"/>
      <c r="R266" s="315"/>
      <c r="S266" s="315"/>
      <c r="T266" s="315"/>
      <c r="U266" s="315"/>
    </row>
    <row r="267" spans="1:21" s="248" customFormat="1" ht="19.5" customHeight="1" hidden="1">
      <c r="A267" s="243" t="s">
        <v>180</v>
      </c>
      <c r="B267" s="275" t="s">
        <v>680</v>
      </c>
      <c r="C267" s="275"/>
      <c r="D267" s="275"/>
      <c r="E267" s="273" t="s">
        <v>179</v>
      </c>
      <c r="F267" s="273"/>
      <c r="G267" s="273" t="s">
        <v>662</v>
      </c>
      <c r="H267" s="273"/>
      <c r="I267" s="273" t="s">
        <v>662</v>
      </c>
      <c r="J267" s="273"/>
      <c r="K267" s="273"/>
      <c r="L267" s="249" t="s">
        <v>179</v>
      </c>
      <c r="M267" s="249"/>
      <c r="N267" s="249"/>
      <c r="O267" s="275" t="s">
        <v>180</v>
      </c>
      <c r="P267" s="275"/>
      <c r="Q267" s="274" t="s">
        <v>936</v>
      </c>
      <c r="R267" s="274"/>
      <c r="S267" s="274"/>
      <c r="T267" s="274"/>
      <c r="U267" s="274"/>
    </row>
    <row r="268" spans="1:21" s="248" customFormat="1" ht="19.5" customHeight="1" hidden="1">
      <c r="A268" s="316" t="s">
        <v>283</v>
      </c>
      <c r="B268" s="316"/>
      <c r="C268" s="316"/>
      <c r="D268" s="316"/>
      <c r="E268" s="273" t="s">
        <v>179</v>
      </c>
      <c r="F268" s="273"/>
      <c r="G268" s="273" t="s">
        <v>662</v>
      </c>
      <c r="H268" s="273"/>
      <c r="I268" s="273" t="s">
        <v>662</v>
      </c>
      <c r="J268" s="273"/>
      <c r="K268" s="273"/>
      <c r="L268" s="249" t="s">
        <v>179</v>
      </c>
      <c r="M268" s="249"/>
      <c r="N268" s="249"/>
      <c r="O268" s="275" t="s">
        <v>180</v>
      </c>
      <c r="P268" s="275"/>
      <c r="Q268" s="274" t="s">
        <v>180</v>
      </c>
      <c r="R268" s="274"/>
      <c r="S268" s="274"/>
      <c r="T268" s="274"/>
      <c r="U268" s="274"/>
    </row>
    <row r="269" spans="1:21" s="248" customFormat="1" ht="19.5" customHeight="1" hidden="1">
      <c r="A269" s="315" t="s">
        <v>930</v>
      </c>
      <c r="B269" s="315"/>
      <c r="C269" s="315"/>
      <c r="D269" s="315"/>
      <c r="E269" s="315"/>
      <c r="F269" s="315"/>
      <c r="G269" s="315"/>
      <c r="H269" s="315"/>
      <c r="I269" s="315"/>
      <c r="J269" s="315"/>
      <c r="K269" s="315"/>
      <c r="L269" s="315"/>
      <c r="M269" s="315"/>
      <c r="N269" s="315"/>
      <c r="O269" s="315"/>
      <c r="P269" s="315"/>
      <c r="Q269" s="315"/>
      <c r="R269" s="315"/>
      <c r="S269" s="315"/>
      <c r="T269" s="315"/>
      <c r="U269" s="315"/>
    </row>
    <row r="270" spans="1:21" s="248" customFormat="1" ht="26.25" customHeight="1" hidden="1">
      <c r="A270" s="243" t="s">
        <v>180</v>
      </c>
      <c r="B270" s="275" t="s">
        <v>669</v>
      </c>
      <c r="C270" s="275"/>
      <c r="D270" s="275"/>
      <c r="E270" s="273" t="s">
        <v>179</v>
      </c>
      <c r="F270" s="273"/>
      <c r="G270" s="273" t="s">
        <v>937</v>
      </c>
      <c r="H270" s="273"/>
      <c r="I270" s="273" t="s">
        <v>937</v>
      </c>
      <c r="J270" s="273"/>
      <c r="K270" s="273"/>
      <c r="L270" s="249" t="s">
        <v>179</v>
      </c>
      <c r="M270" s="249"/>
      <c r="N270" s="249"/>
      <c r="O270" s="275" t="s">
        <v>180</v>
      </c>
      <c r="P270" s="275"/>
      <c r="Q270" s="274" t="s">
        <v>936</v>
      </c>
      <c r="R270" s="274"/>
      <c r="S270" s="274"/>
      <c r="T270" s="274"/>
      <c r="U270" s="274"/>
    </row>
    <row r="271" spans="1:21" s="248" customFormat="1" ht="19.5" customHeight="1" hidden="1">
      <c r="A271" s="315" t="s">
        <v>95</v>
      </c>
      <c r="B271" s="315"/>
      <c r="C271" s="315"/>
      <c r="D271" s="315"/>
      <c r="E271" s="315"/>
      <c r="F271" s="315"/>
      <c r="G271" s="315"/>
      <c r="H271" s="315"/>
      <c r="I271" s="315"/>
      <c r="J271" s="315"/>
      <c r="K271" s="315"/>
      <c r="L271" s="315"/>
      <c r="M271" s="315"/>
      <c r="N271" s="315"/>
      <c r="O271" s="315"/>
      <c r="P271" s="315"/>
      <c r="Q271" s="315"/>
      <c r="R271" s="315"/>
      <c r="S271" s="315"/>
      <c r="T271" s="315"/>
      <c r="U271" s="315"/>
    </row>
    <row r="272" spans="1:21" s="248" customFormat="1" ht="23.25" customHeight="1" hidden="1">
      <c r="A272" s="243" t="s">
        <v>180</v>
      </c>
      <c r="B272" s="275" t="s">
        <v>680</v>
      </c>
      <c r="C272" s="275"/>
      <c r="D272" s="275"/>
      <c r="E272" s="273" t="s">
        <v>179</v>
      </c>
      <c r="F272" s="273"/>
      <c r="G272" s="273" t="s">
        <v>662</v>
      </c>
      <c r="H272" s="273"/>
      <c r="I272" s="273" t="s">
        <v>662</v>
      </c>
      <c r="J272" s="273"/>
      <c r="K272" s="273"/>
      <c r="L272" s="249" t="s">
        <v>179</v>
      </c>
      <c r="M272" s="249"/>
      <c r="N272" s="249"/>
      <c r="O272" s="275" t="s">
        <v>180</v>
      </c>
      <c r="P272" s="275"/>
      <c r="Q272" s="274" t="s">
        <v>936</v>
      </c>
      <c r="R272" s="274"/>
      <c r="S272" s="274"/>
      <c r="T272" s="274"/>
      <c r="U272" s="274"/>
    </row>
    <row r="273" spans="1:21" s="248" customFormat="1" ht="19.5" customHeight="1" hidden="1">
      <c r="A273" s="315" t="s">
        <v>389</v>
      </c>
      <c r="B273" s="315"/>
      <c r="C273" s="315"/>
      <c r="D273" s="315"/>
      <c r="E273" s="315"/>
      <c r="F273" s="315"/>
      <c r="G273" s="315"/>
      <c r="H273" s="315"/>
      <c r="I273" s="315"/>
      <c r="J273" s="315"/>
      <c r="K273" s="315"/>
      <c r="L273" s="315"/>
      <c r="M273" s="315"/>
      <c r="N273" s="315"/>
      <c r="O273" s="315"/>
      <c r="P273" s="315"/>
      <c r="Q273" s="315"/>
      <c r="R273" s="315"/>
      <c r="S273" s="315"/>
      <c r="T273" s="315"/>
      <c r="U273" s="315"/>
    </row>
    <row r="274" spans="1:21" s="248" customFormat="1" ht="24.75" customHeight="1" hidden="1">
      <c r="A274" s="243" t="s">
        <v>180</v>
      </c>
      <c r="B274" s="275" t="s">
        <v>680</v>
      </c>
      <c r="C274" s="275"/>
      <c r="D274" s="275"/>
      <c r="E274" s="273" t="s">
        <v>179</v>
      </c>
      <c r="F274" s="273"/>
      <c r="G274" s="273" t="s">
        <v>938</v>
      </c>
      <c r="H274" s="273"/>
      <c r="I274" s="273" t="s">
        <v>938</v>
      </c>
      <c r="J274" s="273"/>
      <c r="K274" s="273"/>
      <c r="L274" s="249" t="s">
        <v>179</v>
      </c>
      <c r="M274" s="249"/>
      <c r="N274" s="249"/>
      <c r="O274" s="275" t="s">
        <v>180</v>
      </c>
      <c r="P274" s="275"/>
      <c r="Q274" s="274" t="s">
        <v>936</v>
      </c>
      <c r="R274" s="274"/>
      <c r="S274" s="274"/>
      <c r="T274" s="274"/>
      <c r="U274" s="274"/>
    </row>
    <row r="275" spans="1:21" s="248" customFormat="1" ht="24.75" customHeight="1" hidden="1">
      <c r="A275" s="243" t="s">
        <v>180</v>
      </c>
      <c r="B275" s="275" t="s">
        <v>825</v>
      </c>
      <c r="C275" s="275"/>
      <c r="D275" s="275"/>
      <c r="E275" s="273" t="s">
        <v>179</v>
      </c>
      <c r="F275" s="273"/>
      <c r="G275" s="273" t="s">
        <v>939</v>
      </c>
      <c r="H275" s="273"/>
      <c r="I275" s="273" t="s">
        <v>939</v>
      </c>
      <c r="J275" s="273"/>
      <c r="K275" s="273"/>
      <c r="L275" s="249" t="s">
        <v>179</v>
      </c>
      <c r="M275" s="249"/>
      <c r="N275" s="249"/>
      <c r="O275" s="275" t="s">
        <v>180</v>
      </c>
      <c r="P275" s="275"/>
      <c r="Q275" s="274" t="s">
        <v>936</v>
      </c>
      <c r="R275" s="274"/>
      <c r="S275" s="274"/>
      <c r="T275" s="274"/>
      <c r="U275" s="274"/>
    </row>
    <row r="276" spans="1:21" s="248" customFormat="1" ht="24.75" customHeight="1" hidden="1">
      <c r="A276" s="243" t="s">
        <v>180</v>
      </c>
      <c r="B276" s="275" t="s">
        <v>36</v>
      </c>
      <c r="C276" s="275"/>
      <c r="D276" s="275"/>
      <c r="E276" s="273" t="s">
        <v>179</v>
      </c>
      <c r="F276" s="273"/>
      <c r="G276" s="273" t="s">
        <v>798</v>
      </c>
      <c r="H276" s="273"/>
      <c r="I276" s="273" t="s">
        <v>798</v>
      </c>
      <c r="J276" s="273"/>
      <c r="K276" s="273"/>
      <c r="L276" s="249" t="s">
        <v>179</v>
      </c>
      <c r="M276" s="249"/>
      <c r="N276" s="249"/>
      <c r="O276" s="275" t="s">
        <v>180</v>
      </c>
      <c r="P276" s="275"/>
      <c r="Q276" s="274" t="s">
        <v>936</v>
      </c>
      <c r="R276" s="274"/>
      <c r="S276" s="274"/>
      <c r="T276" s="274"/>
      <c r="U276" s="274"/>
    </row>
    <row r="277" spans="1:21" s="248" customFormat="1" ht="24.75" customHeight="1" hidden="1">
      <c r="A277" s="243" t="s">
        <v>180</v>
      </c>
      <c r="B277" s="275" t="s">
        <v>667</v>
      </c>
      <c r="C277" s="275"/>
      <c r="D277" s="275"/>
      <c r="E277" s="273" t="s">
        <v>179</v>
      </c>
      <c r="F277" s="273"/>
      <c r="G277" s="273" t="s">
        <v>18</v>
      </c>
      <c r="H277" s="273"/>
      <c r="I277" s="273" t="s">
        <v>18</v>
      </c>
      <c r="J277" s="273"/>
      <c r="K277" s="273"/>
      <c r="L277" s="249" t="s">
        <v>179</v>
      </c>
      <c r="M277" s="249"/>
      <c r="N277" s="249"/>
      <c r="O277" s="275" t="s">
        <v>180</v>
      </c>
      <c r="P277" s="275"/>
      <c r="Q277" s="274" t="s">
        <v>936</v>
      </c>
      <c r="R277" s="274"/>
      <c r="S277" s="274"/>
      <c r="T277" s="274"/>
      <c r="U277" s="274"/>
    </row>
    <row r="278" spans="1:21" s="248" customFormat="1" ht="19.5" customHeight="1" hidden="1">
      <c r="A278" s="315" t="s">
        <v>913</v>
      </c>
      <c r="B278" s="315"/>
      <c r="C278" s="315"/>
      <c r="D278" s="315"/>
      <c r="E278" s="315"/>
      <c r="F278" s="315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</row>
    <row r="279" spans="1:21" s="248" customFormat="1" ht="24.75" customHeight="1" hidden="1">
      <c r="A279" s="243" t="s">
        <v>180</v>
      </c>
      <c r="B279" s="275" t="s">
        <v>680</v>
      </c>
      <c r="C279" s="275"/>
      <c r="D279" s="275"/>
      <c r="E279" s="273" t="s">
        <v>179</v>
      </c>
      <c r="F279" s="273"/>
      <c r="G279" s="273" t="s">
        <v>940</v>
      </c>
      <c r="H279" s="273"/>
      <c r="I279" s="273" t="s">
        <v>940</v>
      </c>
      <c r="J279" s="273"/>
      <c r="K279" s="273"/>
      <c r="L279" s="249" t="s">
        <v>179</v>
      </c>
      <c r="M279" s="249"/>
      <c r="N279" s="249"/>
      <c r="O279" s="275" t="s">
        <v>180</v>
      </c>
      <c r="P279" s="275"/>
      <c r="Q279" s="274" t="s">
        <v>936</v>
      </c>
      <c r="R279" s="274"/>
      <c r="S279" s="274"/>
      <c r="T279" s="274"/>
      <c r="U279" s="274"/>
    </row>
    <row r="280" spans="1:21" s="248" customFormat="1" ht="26.25" customHeight="1" hidden="1">
      <c r="A280" s="243" t="s">
        <v>180</v>
      </c>
      <c r="B280" s="275" t="s">
        <v>665</v>
      </c>
      <c r="C280" s="275"/>
      <c r="D280" s="275"/>
      <c r="E280" s="273" t="s">
        <v>179</v>
      </c>
      <c r="F280" s="273"/>
      <c r="G280" s="273" t="s">
        <v>189</v>
      </c>
      <c r="H280" s="273"/>
      <c r="I280" s="273" t="s">
        <v>189</v>
      </c>
      <c r="J280" s="273"/>
      <c r="K280" s="273"/>
      <c r="L280" s="249" t="s">
        <v>179</v>
      </c>
      <c r="M280" s="249"/>
      <c r="N280" s="249"/>
      <c r="O280" s="275" t="s">
        <v>180</v>
      </c>
      <c r="P280" s="275"/>
      <c r="Q280" s="274" t="s">
        <v>935</v>
      </c>
      <c r="R280" s="274"/>
      <c r="S280" s="274"/>
      <c r="T280" s="274"/>
      <c r="U280" s="274"/>
    </row>
    <row r="281" spans="1:21" s="248" customFormat="1" ht="19.5" customHeight="1" hidden="1">
      <c r="A281" s="315" t="s">
        <v>933</v>
      </c>
      <c r="B281" s="315"/>
      <c r="C281" s="315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  <c r="N281" s="315"/>
      <c r="O281" s="315"/>
      <c r="P281" s="315"/>
      <c r="Q281" s="315"/>
      <c r="R281" s="315"/>
      <c r="S281" s="315"/>
      <c r="T281" s="315"/>
      <c r="U281" s="315"/>
    </row>
    <row r="282" spans="1:21" s="248" customFormat="1" ht="19.5" customHeight="1" hidden="1">
      <c r="A282" s="243" t="s">
        <v>180</v>
      </c>
      <c r="B282" s="275" t="s">
        <v>825</v>
      </c>
      <c r="C282" s="275"/>
      <c r="D282" s="275"/>
      <c r="E282" s="273" t="s">
        <v>179</v>
      </c>
      <c r="F282" s="273"/>
      <c r="G282" s="273" t="s">
        <v>186</v>
      </c>
      <c r="H282" s="273"/>
      <c r="I282" s="273" t="s">
        <v>186</v>
      </c>
      <c r="J282" s="273"/>
      <c r="K282" s="273"/>
      <c r="L282" s="249" t="s">
        <v>179</v>
      </c>
      <c r="M282" s="249"/>
      <c r="N282" s="249"/>
      <c r="O282" s="275" t="s">
        <v>180</v>
      </c>
      <c r="P282" s="275"/>
      <c r="Q282" s="274" t="s">
        <v>936</v>
      </c>
      <c r="R282" s="274"/>
      <c r="S282" s="274"/>
      <c r="T282" s="274"/>
      <c r="U282" s="274"/>
    </row>
    <row r="283" spans="1:21" s="248" customFormat="1" ht="19.5" customHeight="1" hidden="1">
      <c r="A283" s="315" t="s">
        <v>934</v>
      </c>
      <c r="B283" s="315"/>
      <c r="C283" s="315"/>
      <c r="D283" s="315"/>
      <c r="E283" s="315"/>
      <c r="F283" s="315"/>
      <c r="G283" s="315"/>
      <c r="H283" s="315"/>
      <c r="I283" s="315"/>
      <c r="J283" s="315"/>
      <c r="K283" s="315"/>
      <c r="L283" s="315"/>
      <c r="M283" s="315"/>
      <c r="N283" s="315"/>
      <c r="O283" s="315"/>
      <c r="P283" s="315"/>
      <c r="Q283" s="315"/>
      <c r="R283" s="315"/>
      <c r="S283" s="315"/>
      <c r="T283" s="315"/>
      <c r="U283" s="315"/>
    </row>
    <row r="284" spans="1:21" s="248" customFormat="1" ht="26.25" customHeight="1" hidden="1">
      <c r="A284" s="243" t="s">
        <v>180</v>
      </c>
      <c r="B284" s="275" t="s">
        <v>680</v>
      </c>
      <c r="C284" s="275"/>
      <c r="D284" s="275"/>
      <c r="E284" s="273" t="s">
        <v>179</v>
      </c>
      <c r="F284" s="273"/>
      <c r="G284" s="273" t="s">
        <v>941</v>
      </c>
      <c r="H284" s="273"/>
      <c r="I284" s="273" t="s">
        <v>941</v>
      </c>
      <c r="J284" s="273"/>
      <c r="K284" s="273"/>
      <c r="L284" s="249" t="s">
        <v>179</v>
      </c>
      <c r="M284" s="249"/>
      <c r="N284" s="249"/>
      <c r="O284" s="275" t="s">
        <v>180</v>
      </c>
      <c r="P284" s="275"/>
      <c r="Q284" s="274" t="s">
        <v>936</v>
      </c>
      <c r="R284" s="274"/>
      <c r="S284" s="274"/>
      <c r="T284" s="274"/>
      <c r="U284" s="274"/>
    </row>
    <row r="285" spans="1:21" s="248" customFormat="1" ht="19.5" customHeight="1" hidden="1">
      <c r="A285" s="315" t="s">
        <v>597</v>
      </c>
      <c r="B285" s="315"/>
      <c r="C285" s="315"/>
      <c r="D285" s="315"/>
      <c r="E285" s="315"/>
      <c r="F285" s="315"/>
      <c r="G285" s="315"/>
      <c r="H285" s="315"/>
      <c r="I285" s="315"/>
      <c r="J285" s="315"/>
      <c r="K285" s="315"/>
      <c r="L285" s="315"/>
      <c r="M285" s="315"/>
      <c r="N285" s="315"/>
      <c r="O285" s="315"/>
      <c r="P285" s="315"/>
      <c r="Q285" s="315"/>
      <c r="R285" s="315"/>
      <c r="S285" s="315"/>
      <c r="T285" s="315"/>
      <c r="U285" s="315"/>
    </row>
    <row r="286" spans="1:21" s="248" customFormat="1" ht="28.5" customHeight="1" hidden="1">
      <c r="A286" s="243" t="s">
        <v>180</v>
      </c>
      <c r="B286" s="275" t="s">
        <v>667</v>
      </c>
      <c r="C286" s="275"/>
      <c r="D286" s="275"/>
      <c r="E286" s="273" t="s">
        <v>179</v>
      </c>
      <c r="F286" s="273"/>
      <c r="G286" s="273" t="s">
        <v>705</v>
      </c>
      <c r="H286" s="273"/>
      <c r="I286" s="273" t="s">
        <v>705</v>
      </c>
      <c r="J286" s="273"/>
      <c r="K286" s="273"/>
      <c r="L286" s="249" t="s">
        <v>179</v>
      </c>
      <c r="M286" s="249"/>
      <c r="N286" s="249"/>
      <c r="O286" s="275" t="s">
        <v>180</v>
      </c>
      <c r="P286" s="275"/>
      <c r="Q286" s="274" t="s">
        <v>942</v>
      </c>
      <c r="R286" s="274"/>
      <c r="S286" s="274"/>
      <c r="T286" s="274"/>
      <c r="U286" s="274"/>
    </row>
    <row r="287" spans="1:21" s="248" customFormat="1" ht="19.5" customHeight="1" hidden="1">
      <c r="A287" s="315" t="s">
        <v>943</v>
      </c>
      <c r="B287" s="315"/>
      <c r="C287" s="315"/>
      <c r="D287" s="315"/>
      <c r="E287" s="315"/>
      <c r="F287" s="315"/>
      <c r="G287" s="315"/>
      <c r="H287" s="315"/>
      <c r="I287" s="315"/>
      <c r="J287" s="315"/>
      <c r="K287" s="315"/>
      <c r="L287" s="315"/>
      <c r="M287" s="315"/>
      <c r="N287" s="315"/>
      <c r="O287" s="315"/>
      <c r="P287" s="315"/>
      <c r="Q287" s="315"/>
      <c r="R287" s="315"/>
      <c r="S287" s="315"/>
      <c r="T287" s="315"/>
      <c r="U287" s="315"/>
    </row>
    <row r="288" spans="1:21" s="248" customFormat="1" ht="25.5" customHeight="1" hidden="1">
      <c r="A288" s="243" t="s">
        <v>180</v>
      </c>
      <c r="B288" s="275" t="s">
        <v>825</v>
      </c>
      <c r="C288" s="275"/>
      <c r="D288" s="275"/>
      <c r="E288" s="273" t="s">
        <v>179</v>
      </c>
      <c r="F288" s="273"/>
      <c r="G288" s="273" t="s">
        <v>30</v>
      </c>
      <c r="H288" s="273"/>
      <c r="I288" s="273" t="s">
        <v>30</v>
      </c>
      <c r="J288" s="273"/>
      <c r="K288" s="273"/>
      <c r="L288" s="249" t="s">
        <v>179</v>
      </c>
      <c r="M288" s="249"/>
      <c r="N288" s="249"/>
      <c r="O288" s="275" t="s">
        <v>180</v>
      </c>
      <c r="P288" s="275"/>
      <c r="Q288" s="274" t="s">
        <v>944</v>
      </c>
      <c r="R288" s="274"/>
      <c r="S288" s="274"/>
      <c r="T288" s="274"/>
      <c r="U288" s="274"/>
    </row>
    <row r="289" spans="1:21" s="248" customFormat="1" ht="19.5" customHeight="1" hidden="1">
      <c r="A289" s="315" t="s">
        <v>544</v>
      </c>
      <c r="B289" s="315"/>
      <c r="C289" s="315"/>
      <c r="D289" s="315"/>
      <c r="E289" s="315"/>
      <c r="F289" s="315"/>
      <c r="G289" s="315"/>
      <c r="H289" s="315"/>
      <c r="I289" s="315"/>
      <c r="J289" s="315"/>
      <c r="K289" s="315"/>
      <c r="L289" s="315"/>
      <c r="M289" s="315"/>
      <c r="N289" s="315"/>
      <c r="O289" s="315"/>
      <c r="P289" s="315"/>
      <c r="Q289" s="315"/>
      <c r="R289" s="315"/>
      <c r="S289" s="315"/>
      <c r="T289" s="315"/>
      <c r="U289" s="315"/>
    </row>
    <row r="290" spans="1:21" s="248" customFormat="1" ht="26.25" customHeight="1" hidden="1">
      <c r="A290" s="243" t="s">
        <v>180</v>
      </c>
      <c r="B290" s="275" t="s">
        <v>34</v>
      </c>
      <c r="C290" s="275"/>
      <c r="D290" s="275"/>
      <c r="E290" s="273" t="s">
        <v>179</v>
      </c>
      <c r="F290" s="273"/>
      <c r="G290" s="273" t="s">
        <v>260</v>
      </c>
      <c r="H290" s="273"/>
      <c r="I290" s="273" t="s">
        <v>260</v>
      </c>
      <c r="J290" s="273"/>
      <c r="K290" s="273"/>
      <c r="L290" s="249" t="s">
        <v>179</v>
      </c>
      <c r="M290" s="249"/>
      <c r="N290" s="249"/>
      <c r="O290" s="275" t="s">
        <v>180</v>
      </c>
      <c r="P290" s="275"/>
      <c r="Q290" s="274" t="s">
        <v>945</v>
      </c>
      <c r="R290" s="274"/>
      <c r="S290" s="274"/>
      <c r="T290" s="274"/>
      <c r="U290" s="274"/>
    </row>
    <row r="291" spans="1:21" s="248" customFormat="1" ht="19.5" customHeight="1" hidden="1">
      <c r="A291" s="315" t="s">
        <v>913</v>
      </c>
      <c r="B291" s="315"/>
      <c r="C291" s="315"/>
      <c r="D291" s="315"/>
      <c r="E291" s="315"/>
      <c r="F291" s="315"/>
      <c r="G291" s="315"/>
      <c r="H291" s="315"/>
      <c r="I291" s="315"/>
      <c r="J291" s="315"/>
      <c r="K291" s="315"/>
      <c r="L291" s="315"/>
      <c r="M291" s="315"/>
      <c r="N291" s="315"/>
      <c r="O291" s="315"/>
      <c r="P291" s="315"/>
      <c r="Q291" s="315"/>
      <c r="R291" s="315"/>
      <c r="S291" s="315"/>
      <c r="T291" s="315"/>
      <c r="U291" s="315"/>
    </row>
    <row r="292" spans="1:21" s="248" customFormat="1" ht="26.25" customHeight="1" hidden="1">
      <c r="A292" s="243" t="s">
        <v>180</v>
      </c>
      <c r="B292" s="275" t="s">
        <v>34</v>
      </c>
      <c r="C292" s="275"/>
      <c r="D292" s="275"/>
      <c r="E292" s="273" t="s">
        <v>179</v>
      </c>
      <c r="F292" s="273"/>
      <c r="G292" s="273" t="s">
        <v>773</v>
      </c>
      <c r="H292" s="273"/>
      <c r="I292" s="273" t="s">
        <v>773</v>
      </c>
      <c r="J292" s="273"/>
      <c r="K292" s="273"/>
      <c r="L292" s="249" t="s">
        <v>179</v>
      </c>
      <c r="M292" s="249"/>
      <c r="N292" s="249"/>
      <c r="O292" s="275" t="s">
        <v>180</v>
      </c>
      <c r="P292" s="275"/>
      <c r="Q292" s="274" t="s">
        <v>945</v>
      </c>
      <c r="R292" s="274"/>
      <c r="S292" s="274"/>
      <c r="T292" s="274"/>
      <c r="U292" s="274"/>
    </row>
    <row r="293" spans="1:21" s="248" customFormat="1" ht="24.75" customHeight="1" hidden="1">
      <c r="A293" s="243" t="s">
        <v>180</v>
      </c>
      <c r="B293" s="275" t="s">
        <v>680</v>
      </c>
      <c r="C293" s="275"/>
      <c r="D293" s="275"/>
      <c r="E293" s="273" t="s">
        <v>179</v>
      </c>
      <c r="F293" s="273"/>
      <c r="G293" s="273" t="s">
        <v>277</v>
      </c>
      <c r="H293" s="273"/>
      <c r="I293" s="273" t="s">
        <v>277</v>
      </c>
      <c r="J293" s="273"/>
      <c r="K293" s="273"/>
      <c r="L293" s="249" t="s">
        <v>179</v>
      </c>
      <c r="M293" s="249"/>
      <c r="N293" s="249"/>
      <c r="O293" s="275" t="s">
        <v>180</v>
      </c>
      <c r="P293" s="275"/>
      <c r="Q293" s="274" t="s">
        <v>945</v>
      </c>
      <c r="R293" s="274"/>
      <c r="S293" s="274"/>
      <c r="T293" s="274"/>
      <c r="U293" s="274"/>
    </row>
    <row r="294" spans="1:21" s="248" customFormat="1" ht="19.5" customHeight="1" hidden="1">
      <c r="A294" s="315" t="s">
        <v>925</v>
      </c>
      <c r="B294" s="315"/>
      <c r="C294" s="315"/>
      <c r="D294" s="315"/>
      <c r="E294" s="315"/>
      <c r="F294" s="315"/>
      <c r="G294" s="315"/>
      <c r="H294" s="315"/>
      <c r="I294" s="315"/>
      <c r="J294" s="315"/>
      <c r="K294" s="315"/>
      <c r="L294" s="315"/>
      <c r="M294" s="315"/>
      <c r="N294" s="315"/>
      <c r="O294" s="315"/>
      <c r="P294" s="315"/>
      <c r="Q294" s="315"/>
      <c r="R294" s="315"/>
      <c r="S294" s="315"/>
      <c r="T294" s="315"/>
      <c r="U294" s="315"/>
    </row>
    <row r="295" spans="1:21" s="248" customFormat="1" ht="25.5" customHeight="1" hidden="1">
      <c r="A295" s="243" t="s">
        <v>180</v>
      </c>
      <c r="B295" s="275" t="s">
        <v>667</v>
      </c>
      <c r="C295" s="275"/>
      <c r="D295" s="275"/>
      <c r="E295" s="273" t="s">
        <v>179</v>
      </c>
      <c r="F295" s="273"/>
      <c r="G295" s="273" t="s">
        <v>18</v>
      </c>
      <c r="H295" s="273"/>
      <c r="I295" s="273" t="s">
        <v>18</v>
      </c>
      <c r="J295" s="273"/>
      <c r="K295" s="273"/>
      <c r="L295" s="249" t="s">
        <v>179</v>
      </c>
      <c r="M295" s="249"/>
      <c r="N295" s="249"/>
      <c r="O295" s="275" t="s">
        <v>180</v>
      </c>
      <c r="P295" s="275"/>
      <c r="Q295" s="274" t="s">
        <v>946</v>
      </c>
      <c r="R295" s="274"/>
      <c r="S295" s="274"/>
      <c r="T295" s="274"/>
      <c r="U295" s="274"/>
    </row>
    <row r="296" spans="1:21" s="248" customFormat="1" ht="19.5" customHeight="1" hidden="1">
      <c r="A296" s="315" t="s">
        <v>804</v>
      </c>
      <c r="B296" s="315"/>
      <c r="C296" s="315"/>
      <c r="D296" s="315"/>
      <c r="E296" s="315"/>
      <c r="F296" s="315"/>
      <c r="G296" s="315"/>
      <c r="H296" s="315"/>
      <c r="I296" s="315"/>
      <c r="J296" s="315"/>
      <c r="K296" s="315"/>
      <c r="L296" s="315"/>
      <c r="M296" s="315"/>
      <c r="N296" s="315"/>
      <c r="O296" s="315"/>
      <c r="P296" s="315"/>
      <c r="Q296" s="315"/>
      <c r="R296" s="315"/>
      <c r="S296" s="315"/>
      <c r="T296" s="315"/>
      <c r="U296" s="315"/>
    </row>
    <row r="297" spans="1:21" s="248" customFormat="1" ht="19.5" customHeight="1" hidden="1">
      <c r="A297" s="243" t="s">
        <v>180</v>
      </c>
      <c r="B297" s="275" t="s">
        <v>687</v>
      </c>
      <c r="C297" s="275"/>
      <c r="D297" s="275"/>
      <c r="E297" s="273" t="s">
        <v>179</v>
      </c>
      <c r="F297" s="273"/>
      <c r="G297" s="273" t="s">
        <v>773</v>
      </c>
      <c r="H297" s="273"/>
      <c r="I297" s="273" t="s">
        <v>773</v>
      </c>
      <c r="J297" s="273"/>
      <c r="K297" s="273"/>
      <c r="L297" s="249" t="s">
        <v>179</v>
      </c>
      <c r="M297" s="249"/>
      <c r="N297" s="249"/>
      <c r="O297" s="275" t="s">
        <v>180</v>
      </c>
      <c r="P297" s="275"/>
      <c r="Q297" s="274" t="s">
        <v>947</v>
      </c>
      <c r="R297" s="274"/>
      <c r="S297" s="274"/>
      <c r="T297" s="274"/>
      <c r="U297" s="274"/>
    </row>
    <row r="298" spans="1:21" s="248" customFormat="1" ht="19.5" customHeight="1" hidden="1">
      <c r="A298" s="315" t="s">
        <v>389</v>
      </c>
      <c r="B298" s="315"/>
      <c r="C298" s="315"/>
      <c r="D298" s="315"/>
      <c r="E298" s="315"/>
      <c r="F298" s="315"/>
      <c r="G298" s="315"/>
      <c r="H298" s="315"/>
      <c r="I298" s="315"/>
      <c r="J298" s="315"/>
      <c r="K298" s="315"/>
      <c r="L298" s="315"/>
      <c r="M298" s="315"/>
      <c r="N298" s="315"/>
      <c r="O298" s="315"/>
      <c r="P298" s="315"/>
      <c r="Q298" s="315"/>
      <c r="R298" s="315"/>
      <c r="S298" s="315"/>
      <c r="T298" s="315"/>
      <c r="U298" s="315"/>
    </row>
    <row r="299" spans="1:21" s="248" customFormat="1" ht="24.75" customHeight="1" hidden="1">
      <c r="A299" s="243" t="s">
        <v>180</v>
      </c>
      <c r="B299" s="275" t="s">
        <v>825</v>
      </c>
      <c r="C299" s="275"/>
      <c r="D299" s="275"/>
      <c r="E299" s="273" t="s">
        <v>179</v>
      </c>
      <c r="F299" s="273"/>
      <c r="G299" s="273" t="s">
        <v>18</v>
      </c>
      <c r="H299" s="273"/>
      <c r="I299" s="273" t="s">
        <v>18</v>
      </c>
      <c r="J299" s="273"/>
      <c r="K299" s="273"/>
      <c r="L299" s="249" t="s">
        <v>179</v>
      </c>
      <c r="M299" s="249"/>
      <c r="N299" s="249"/>
      <c r="O299" s="275" t="s">
        <v>180</v>
      </c>
      <c r="P299" s="275"/>
      <c r="Q299" s="274" t="s">
        <v>948</v>
      </c>
      <c r="R299" s="274"/>
      <c r="S299" s="274"/>
      <c r="T299" s="274"/>
      <c r="U299" s="274"/>
    </row>
    <row r="300" spans="1:21" s="248" customFormat="1" ht="19.5" customHeight="1">
      <c r="A300" s="315" t="s">
        <v>14</v>
      </c>
      <c r="B300" s="315"/>
      <c r="C300" s="315"/>
      <c r="D300" s="315"/>
      <c r="E300" s="315"/>
      <c r="F300" s="315"/>
      <c r="G300" s="315"/>
      <c r="H300" s="315"/>
      <c r="I300" s="315"/>
      <c r="J300" s="315"/>
      <c r="K300" s="315"/>
      <c r="L300" s="315"/>
      <c r="M300" s="315"/>
      <c r="N300" s="315"/>
      <c r="O300" s="315"/>
      <c r="P300" s="315"/>
      <c r="Q300" s="315"/>
      <c r="R300" s="315"/>
      <c r="S300" s="315"/>
      <c r="T300" s="315"/>
      <c r="U300" s="315"/>
    </row>
    <row r="301" spans="1:21" s="248" customFormat="1" ht="28.5" customHeight="1">
      <c r="A301" s="243" t="s">
        <v>180</v>
      </c>
      <c r="B301" s="275" t="s">
        <v>667</v>
      </c>
      <c r="C301" s="275"/>
      <c r="D301" s="275"/>
      <c r="E301" s="273" t="s">
        <v>684</v>
      </c>
      <c r="F301" s="273"/>
      <c r="G301" s="273" t="s">
        <v>179</v>
      </c>
      <c r="H301" s="273"/>
      <c r="I301" s="273" t="s">
        <v>179</v>
      </c>
      <c r="J301" s="273"/>
      <c r="K301" s="273"/>
      <c r="L301" s="249">
        <v>1000</v>
      </c>
      <c r="M301" s="249"/>
      <c r="N301" s="249"/>
      <c r="O301" s="320">
        <f>1000+N301</f>
        <v>1000</v>
      </c>
      <c r="P301" s="321"/>
      <c r="Q301" s="274" t="s">
        <v>949</v>
      </c>
      <c r="R301" s="274"/>
      <c r="S301" s="274"/>
      <c r="T301" s="274"/>
      <c r="U301" s="274"/>
    </row>
    <row r="302" spans="1:21" s="248" customFormat="1" ht="19.5" customHeight="1" hidden="1" outlineLevel="1">
      <c r="A302" s="243" t="s">
        <v>180</v>
      </c>
      <c r="B302" s="275" t="s">
        <v>34</v>
      </c>
      <c r="C302" s="275"/>
      <c r="D302" s="275"/>
      <c r="E302" s="273" t="s">
        <v>179</v>
      </c>
      <c r="F302" s="273"/>
      <c r="G302" s="273" t="s">
        <v>30</v>
      </c>
      <c r="H302" s="273"/>
      <c r="I302" s="273" t="s">
        <v>30</v>
      </c>
      <c r="J302" s="273"/>
      <c r="K302" s="273"/>
      <c r="L302" s="249" t="s">
        <v>179</v>
      </c>
      <c r="M302" s="249"/>
      <c r="N302" s="249"/>
      <c r="O302" s="275" t="s">
        <v>180</v>
      </c>
      <c r="P302" s="275"/>
      <c r="Q302" s="274" t="s">
        <v>950</v>
      </c>
      <c r="R302" s="274"/>
      <c r="S302" s="274"/>
      <c r="T302" s="274"/>
      <c r="U302" s="274"/>
    </row>
    <row r="303" spans="1:21" s="248" customFormat="1" ht="19.5" customHeight="1" hidden="1" outlineLevel="1">
      <c r="A303" s="243" t="s">
        <v>180</v>
      </c>
      <c r="B303" s="275" t="s">
        <v>667</v>
      </c>
      <c r="C303" s="275"/>
      <c r="D303" s="275"/>
      <c r="E303" s="273" t="s">
        <v>179</v>
      </c>
      <c r="F303" s="273"/>
      <c r="G303" s="273" t="s">
        <v>30</v>
      </c>
      <c r="H303" s="273"/>
      <c r="I303" s="273" t="s">
        <v>30</v>
      </c>
      <c r="J303" s="273"/>
      <c r="K303" s="273"/>
      <c r="L303" s="249" t="s">
        <v>179</v>
      </c>
      <c r="M303" s="249"/>
      <c r="N303" s="249"/>
      <c r="O303" s="275" t="s">
        <v>180</v>
      </c>
      <c r="P303" s="275"/>
      <c r="Q303" s="274" t="s">
        <v>951</v>
      </c>
      <c r="R303" s="274"/>
      <c r="S303" s="274"/>
      <c r="T303" s="274"/>
      <c r="U303" s="274"/>
    </row>
    <row r="304" spans="1:21" s="248" customFormat="1" ht="19.5" customHeight="1" hidden="1" outlineLevel="1">
      <c r="A304" s="243" t="s">
        <v>180</v>
      </c>
      <c r="B304" s="275" t="s">
        <v>667</v>
      </c>
      <c r="C304" s="275"/>
      <c r="D304" s="275"/>
      <c r="E304" s="273" t="s">
        <v>179</v>
      </c>
      <c r="F304" s="273"/>
      <c r="G304" s="273" t="s">
        <v>184</v>
      </c>
      <c r="H304" s="273"/>
      <c r="I304" s="273" t="s">
        <v>184</v>
      </c>
      <c r="J304" s="273"/>
      <c r="K304" s="273"/>
      <c r="L304" s="249" t="s">
        <v>179</v>
      </c>
      <c r="M304" s="249"/>
      <c r="N304" s="249"/>
      <c r="O304" s="275" t="s">
        <v>180</v>
      </c>
      <c r="P304" s="275"/>
      <c r="Q304" s="274" t="s">
        <v>954</v>
      </c>
      <c r="R304" s="274"/>
      <c r="S304" s="274"/>
      <c r="T304" s="274"/>
      <c r="U304" s="274"/>
    </row>
    <row r="305" spans="1:21" s="248" customFormat="1" ht="19.5" customHeight="1" hidden="1" outlineLevel="1">
      <c r="A305" s="243" t="s">
        <v>180</v>
      </c>
      <c r="B305" s="275" t="s">
        <v>669</v>
      </c>
      <c r="C305" s="275"/>
      <c r="D305" s="275"/>
      <c r="E305" s="273" t="s">
        <v>179</v>
      </c>
      <c r="F305" s="273"/>
      <c r="G305" s="273" t="s">
        <v>184</v>
      </c>
      <c r="H305" s="273"/>
      <c r="I305" s="273" t="s">
        <v>184</v>
      </c>
      <c r="J305" s="273"/>
      <c r="K305" s="273"/>
      <c r="L305" s="249" t="s">
        <v>179</v>
      </c>
      <c r="M305" s="249"/>
      <c r="N305" s="249"/>
      <c r="O305" s="275" t="s">
        <v>180</v>
      </c>
      <c r="P305" s="275"/>
      <c r="Q305" s="274" t="s">
        <v>955</v>
      </c>
      <c r="R305" s="274"/>
      <c r="S305" s="274"/>
      <c r="T305" s="274"/>
      <c r="U305" s="274"/>
    </row>
    <row r="306" spans="1:21" s="248" customFormat="1" ht="19.5" customHeight="1" hidden="1" outlineLevel="1">
      <c r="A306" s="243" t="s">
        <v>180</v>
      </c>
      <c r="B306" s="275" t="s">
        <v>667</v>
      </c>
      <c r="C306" s="275"/>
      <c r="D306" s="275"/>
      <c r="E306" s="273" t="s">
        <v>179</v>
      </c>
      <c r="F306" s="273"/>
      <c r="G306" s="273" t="s">
        <v>705</v>
      </c>
      <c r="H306" s="273"/>
      <c r="I306" s="273" t="s">
        <v>705</v>
      </c>
      <c r="J306" s="273"/>
      <c r="K306" s="273"/>
      <c r="L306" s="249" t="s">
        <v>179</v>
      </c>
      <c r="M306" s="249"/>
      <c r="N306" s="249"/>
      <c r="O306" s="275" t="s">
        <v>180</v>
      </c>
      <c r="P306" s="275"/>
      <c r="Q306" s="274" t="s">
        <v>956</v>
      </c>
      <c r="R306" s="274"/>
      <c r="S306" s="274"/>
      <c r="T306" s="274"/>
      <c r="U306" s="274"/>
    </row>
    <row r="307" spans="1:21" s="248" customFormat="1" ht="19.5" customHeight="1" hidden="1" outlineLevel="1">
      <c r="A307" s="243" t="s">
        <v>180</v>
      </c>
      <c r="B307" s="275" t="s">
        <v>667</v>
      </c>
      <c r="C307" s="275"/>
      <c r="D307" s="275"/>
      <c r="E307" s="273" t="s">
        <v>179</v>
      </c>
      <c r="F307" s="273"/>
      <c r="G307" s="273" t="s">
        <v>771</v>
      </c>
      <c r="H307" s="273"/>
      <c r="I307" s="273" t="s">
        <v>771</v>
      </c>
      <c r="J307" s="273"/>
      <c r="K307" s="273"/>
      <c r="L307" s="249" t="s">
        <v>179</v>
      </c>
      <c r="M307" s="249"/>
      <c r="N307" s="249"/>
      <c r="O307" s="275" t="s">
        <v>180</v>
      </c>
      <c r="P307" s="275"/>
      <c r="Q307" s="274" t="s">
        <v>957</v>
      </c>
      <c r="R307" s="274"/>
      <c r="S307" s="274"/>
      <c r="T307" s="274"/>
      <c r="U307" s="274"/>
    </row>
    <row r="308" spans="1:21" s="248" customFormat="1" ht="19.5" customHeight="1" collapsed="1">
      <c r="A308" s="315" t="s">
        <v>804</v>
      </c>
      <c r="B308" s="315"/>
      <c r="C308" s="315"/>
      <c r="D308" s="315"/>
      <c r="E308" s="315"/>
      <c r="F308" s="315"/>
      <c r="G308" s="315"/>
      <c r="H308" s="315"/>
      <c r="I308" s="315"/>
      <c r="J308" s="315"/>
      <c r="K308" s="315"/>
      <c r="L308" s="315"/>
      <c r="M308" s="315"/>
      <c r="N308" s="315"/>
      <c r="O308" s="315"/>
      <c r="P308" s="315"/>
      <c r="Q308" s="315"/>
      <c r="R308" s="315"/>
      <c r="S308" s="315"/>
      <c r="T308" s="315"/>
      <c r="U308" s="315"/>
    </row>
    <row r="309" spans="1:21" s="248" customFormat="1" ht="19.5" customHeight="1">
      <c r="A309" s="243" t="s">
        <v>180</v>
      </c>
      <c r="B309" s="275" t="s">
        <v>687</v>
      </c>
      <c r="C309" s="275"/>
      <c r="D309" s="275"/>
      <c r="E309" s="273" t="s">
        <v>282</v>
      </c>
      <c r="F309" s="273"/>
      <c r="G309" s="273" t="s">
        <v>282</v>
      </c>
      <c r="H309" s="273"/>
      <c r="I309" s="273" t="s">
        <v>282</v>
      </c>
      <c r="J309" s="273"/>
      <c r="K309" s="273"/>
      <c r="L309" s="249">
        <v>3500</v>
      </c>
      <c r="M309" s="249"/>
      <c r="N309" s="249"/>
      <c r="O309" s="278">
        <v>500</v>
      </c>
      <c r="P309" s="279"/>
      <c r="Q309" s="274" t="s">
        <v>958</v>
      </c>
      <c r="R309" s="274"/>
      <c r="S309" s="274"/>
      <c r="T309" s="274"/>
      <c r="U309" s="274"/>
    </row>
    <row r="310" spans="1:21" s="248" customFormat="1" ht="19.5" customHeight="1" hidden="1">
      <c r="A310" s="315" t="s">
        <v>272</v>
      </c>
      <c r="B310" s="315"/>
      <c r="C310" s="315"/>
      <c r="D310" s="315"/>
      <c r="E310" s="315"/>
      <c r="F310" s="315"/>
      <c r="G310" s="315"/>
      <c r="H310" s="315"/>
      <c r="I310" s="315"/>
      <c r="J310" s="315"/>
      <c r="K310" s="315"/>
      <c r="L310" s="315"/>
      <c r="M310" s="315"/>
      <c r="N310" s="315"/>
      <c r="O310" s="315"/>
      <c r="P310" s="315"/>
      <c r="Q310" s="315"/>
      <c r="R310" s="315"/>
      <c r="S310" s="315"/>
      <c r="T310" s="315"/>
      <c r="U310" s="315"/>
    </row>
    <row r="311" spans="1:21" s="248" customFormat="1" ht="24" customHeight="1" hidden="1">
      <c r="A311" s="243" t="s">
        <v>180</v>
      </c>
      <c r="B311" s="275" t="s">
        <v>669</v>
      </c>
      <c r="C311" s="275"/>
      <c r="D311" s="275"/>
      <c r="E311" s="273" t="s">
        <v>179</v>
      </c>
      <c r="F311" s="273"/>
      <c r="G311" s="273" t="s">
        <v>274</v>
      </c>
      <c r="H311" s="273"/>
      <c r="I311" s="273" t="s">
        <v>274</v>
      </c>
      <c r="J311" s="273"/>
      <c r="K311" s="273"/>
      <c r="L311" s="249" t="s">
        <v>179</v>
      </c>
      <c r="M311" s="249"/>
      <c r="N311" s="249"/>
      <c r="O311" s="275" t="s">
        <v>180</v>
      </c>
      <c r="P311" s="275"/>
      <c r="Q311" s="274" t="s">
        <v>959</v>
      </c>
      <c r="R311" s="274"/>
      <c r="S311" s="274"/>
      <c r="T311" s="274"/>
      <c r="U311" s="274"/>
    </row>
    <row r="312" spans="1:21" s="248" customFormat="1" ht="25.5" customHeight="1" hidden="1">
      <c r="A312" s="243" t="s">
        <v>180</v>
      </c>
      <c r="B312" s="275" t="s">
        <v>669</v>
      </c>
      <c r="C312" s="275"/>
      <c r="D312" s="275"/>
      <c r="E312" s="273" t="s">
        <v>179</v>
      </c>
      <c r="F312" s="273"/>
      <c r="G312" s="273" t="s">
        <v>352</v>
      </c>
      <c r="H312" s="273"/>
      <c r="I312" s="273" t="s">
        <v>352</v>
      </c>
      <c r="J312" s="273"/>
      <c r="K312" s="273"/>
      <c r="L312" s="249" t="s">
        <v>179</v>
      </c>
      <c r="M312" s="249"/>
      <c r="N312" s="249"/>
      <c r="O312" s="275" t="s">
        <v>180</v>
      </c>
      <c r="P312" s="275"/>
      <c r="Q312" s="274" t="s">
        <v>960</v>
      </c>
      <c r="R312" s="274"/>
      <c r="S312" s="274"/>
      <c r="T312" s="274"/>
      <c r="U312" s="274"/>
    </row>
    <row r="313" spans="1:21" s="248" customFormat="1" ht="19.5" customHeight="1">
      <c r="A313" s="315" t="s">
        <v>95</v>
      </c>
      <c r="B313" s="315"/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315"/>
      <c r="O313" s="315"/>
      <c r="P313" s="315"/>
      <c r="Q313" s="315"/>
      <c r="R313" s="315"/>
      <c r="S313" s="315"/>
      <c r="T313" s="315"/>
      <c r="U313" s="315"/>
    </row>
    <row r="314" spans="1:21" s="248" customFormat="1" ht="25.5" customHeight="1">
      <c r="A314" s="243" t="s">
        <v>180</v>
      </c>
      <c r="B314" s="275" t="s">
        <v>34</v>
      </c>
      <c r="C314" s="275"/>
      <c r="D314" s="275"/>
      <c r="E314" s="273" t="s">
        <v>187</v>
      </c>
      <c r="F314" s="273"/>
      <c r="G314" s="273" t="s">
        <v>179</v>
      </c>
      <c r="H314" s="273"/>
      <c r="I314" s="273" t="s">
        <v>179</v>
      </c>
      <c r="J314" s="273"/>
      <c r="K314" s="273"/>
      <c r="L314" s="249" t="s">
        <v>187</v>
      </c>
      <c r="M314" s="249"/>
      <c r="N314" s="249"/>
      <c r="O314" s="267">
        <f>L314+N314</f>
        <v>400</v>
      </c>
      <c r="P314" s="267"/>
      <c r="Q314" s="274" t="s">
        <v>961</v>
      </c>
      <c r="R314" s="274"/>
      <c r="S314" s="274"/>
      <c r="T314" s="274"/>
      <c r="U314" s="274"/>
    </row>
    <row r="315" spans="1:21" s="248" customFormat="1" ht="19.5" customHeight="1">
      <c r="A315" s="315" t="s">
        <v>389</v>
      </c>
      <c r="B315" s="315"/>
      <c r="C315" s="315"/>
      <c r="D315" s="315"/>
      <c r="E315" s="315"/>
      <c r="F315" s="315"/>
      <c r="G315" s="315"/>
      <c r="H315" s="315"/>
      <c r="I315" s="315"/>
      <c r="J315" s="315"/>
      <c r="K315" s="315"/>
      <c r="L315" s="315"/>
      <c r="M315" s="315"/>
      <c r="N315" s="315"/>
      <c r="O315" s="315"/>
      <c r="P315" s="315"/>
      <c r="Q315" s="315"/>
      <c r="R315" s="315"/>
      <c r="S315" s="315"/>
      <c r="T315" s="315"/>
      <c r="U315" s="315"/>
    </row>
    <row r="316" spans="1:21" s="248" customFormat="1" ht="25.5" customHeight="1">
      <c r="A316" s="243" t="s">
        <v>180</v>
      </c>
      <c r="B316" s="275" t="s">
        <v>34</v>
      </c>
      <c r="C316" s="275"/>
      <c r="D316" s="275"/>
      <c r="E316" s="273">
        <v>1100</v>
      </c>
      <c r="F316" s="273"/>
      <c r="G316" s="273" t="s">
        <v>179</v>
      </c>
      <c r="H316" s="273"/>
      <c r="I316" s="273" t="s">
        <v>179</v>
      </c>
      <c r="J316" s="273"/>
      <c r="K316" s="273"/>
      <c r="L316" s="249">
        <v>1100</v>
      </c>
      <c r="M316" s="249"/>
      <c r="N316" s="249"/>
      <c r="O316" s="320">
        <v>2240</v>
      </c>
      <c r="P316" s="321"/>
      <c r="Q316" s="274" t="s">
        <v>962</v>
      </c>
      <c r="R316" s="274"/>
      <c r="S316" s="274"/>
      <c r="T316" s="274"/>
      <c r="U316" s="274"/>
    </row>
    <row r="317" spans="1:21" s="248" customFormat="1" ht="19.5" customHeight="1">
      <c r="A317" s="315" t="s">
        <v>389</v>
      </c>
      <c r="B317" s="315"/>
      <c r="C317" s="315"/>
      <c r="D317" s="315"/>
      <c r="E317" s="315"/>
      <c r="F317" s="315"/>
      <c r="G317" s="315"/>
      <c r="H317" s="315"/>
      <c r="I317" s="315"/>
      <c r="J317" s="315"/>
      <c r="K317" s="315"/>
      <c r="L317" s="315"/>
      <c r="M317" s="315"/>
      <c r="N317" s="315"/>
      <c r="O317" s="315"/>
      <c r="P317" s="315"/>
      <c r="Q317" s="315"/>
      <c r="R317" s="315"/>
      <c r="S317" s="315"/>
      <c r="T317" s="315"/>
      <c r="U317" s="315"/>
    </row>
    <row r="318" spans="1:21" s="248" customFormat="1" ht="26.25" customHeight="1">
      <c r="A318" s="243" t="s">
        <v>180</v>
      </c>
      <c r="B318" s="275" t="s">
        <v>694</v>
      </c>
      <c r="C318" s="275"/>
      <c r="D318" s="275"/>
      <c r="E318" s="273" t="s">
        <v>260</v>
      </c>
      <c r="F318" s="273"/>
      <c r="G318" s="273" t="s">
        <v>260</v>
      </c>
      <c r="H318" s="273"/>
      <c r="I318" s="273" t="s">
        <v>179</v>
      </c>
      <c r="J318" s="273"/>
      <c r="K318" s="273"/>
      <c r="L318" s="249" t="s">
        <v>260</v>
      </c>
      <c r="M318" s="249"/>
      <c r="N318" s="249"/>
      <c r="O318" s="320">
        <v>1350</v>
      </c>
      <c r="P318" s="279"/>
      <c r="Q318" s="274" t="s">
        <v>963</v>
      </c>
      <c r="R318" s="274"/>
      <c r="S318" s="274"/>
      <c r="T318" s="274"/>
      <c r="U318" s="274"/>
    </row>
    <row r="319" spans="1:22" s="248" customFormat="1" ht="19.5" customHeight="1">
      <c r="A319" s="317" t="s">
        <v>210</v>
      </c>
      <c r="B319" s="317"/>
      <c r="C319" s="317"/>
      <c r="D319" s="317"/>
      <c r="E319" s="319">
        <v>3250</v>
      </c>
      <c r="F319" s="319"/>
      <c r="G319" s="311">
        <v>4020</v>
      </c>
      <c r="H319" s="311"/>
      <c r="I319" s="311">
        <v>3635</v>
      </c>
      <c r="J319" s="311"/>
      <c r="K319" s="311"/>
      <c r="L319" s="244">
        <v>6350</v>
      </c>
      <c r="M319" s="244">
        <f>E319+2800</f>
        <v>6050</v>
      </c>
      <c r="N319" s="258">
        <v>6050</v>
      </c>
      <c r="O319" s="335">
        <f>O301+O309+O314+O316+O318</f>
        <v>5490</v>
      </c>
      <c r="P319" s="336"/>
      <c r="Q319" s="337"/>
      <c r="R319" s="337"/>
      <c r="S319" s="337"/>
      <c r="T319" s="337"/>
      <c r="U319" s="337"/>
      <c r="V319" s="253"/>
    </row>
    <row r="320" spans="1:21" s="248" customFormat="1" ht="19.5" customHeight="1">
      <c r="A320" s="314" t="s">
        <v>247</v>
      </c>
      <c r="B320" s="314"/>
      <c r="C320" s="314"/>
      <c r="D320" s="314"/>
      <c r="E320" s="314"/>
      <c r="F320" s="314"/>
      <c r="G320" s="314"/>
      <c r="H320" s="314"/>
      <c r="I320" s="314"/>
      <c r="J320" s="314"/>
      <c r="K320" s="314"/>
      <c r="L320" s="314"/>
      <c r="M320" s="314"/>
      <c r="N320" s="314"/>
      <c r="O320" s="314"/>
      <c r="P320" s="314"/>
      <c r="Q320" s="314"/>
      <c r="R320" s="314"/>
      <c r="S320" s="314"/>
      <c r="T320" s="314"/>
      <c r="U320" s="314"/>
    </row>
    <row r="321" spans="1:21" s="248" customFormat="1" ht="19.5" customHeight="1" hidden="1" outlineLevel="1">
      <c r="A321" s="315" t="s">
        <v>964</v>
      </c>
      <c r="B321" s="315"/>
      <c r="C321" s="315"/>
      <c r="D321" s="315"/>
      <c r="E321" s="315"/>
      <c r="F321" s="315"/>
      <c r="G321" s="315"/>
      <c r="H321" s="315"/>
      <c r="I321" s="315"/>
      <c r="J321" s="315"/>
      <c r="K321" s="315"/>
      <c r="L321" s="315"/>
      <c r="M321" s="315"/>
      <c r="N321" s="315"/>
      <c r="O321" s="315"/>
      <c r="P321" s="315"/>
      <c r="Q321" s="315"/>
      <c r="R321" s="315"/>
      <c r="S321" s="315"/>
      <c r="T321" s="315"/>
      <c r="U321" s="315"/>
    </row>
    <row r="322" spans="1:21" s="248" customFormat="1" ht="19.5" customHeight="1" hidden="1" outlineLevel="1">
      <c r="A322" s="243" t="s">
        <v>180</v>
      </c>
      <c r="B322" s="275" t="s">
        <v>34</v>
      </c>
      <c r="C322" s="275"/>
      <c r="D322" s="275"/>
      <c r="E322" s="273" t="s">
        <v>179</v>
      </c>
      <c r="F322" s="273"/>
      <c r="G322" s="273" t="s">
        <v>798</v>
      </c>
      <c r="H322" s="273"/>
      <c r="I322" s="273" t="s">
        <v>179</v>
      </c>
      <c r="J322" s="273"/>
      <c r="K322" s="273"/>
      <c r="L322" s="249" t="s">
        <v>179</v>
      </c>
      <c r="M322" s="249"/>
      <c r="N322" s="249"/>
      <c r="O322" s="275" t="s">
        <v>180</v>
      </c>
      <c r="P322" s="275"/>
      <c r="Q322" s="274" t="s">
        <v>965</v>
      </c>
      <c r="R322" s="274"/>
      <c r="S322" s="274"/>
      <c r="T322" s="274"/>
      <c r="U322" s="274"/>
    </row>
    <row r="323" spans="1:21" s="248" customFormat="1" ht="19.5" customHeight="1" hidden="1" outlineLevel="1">
      <c r="A323" s="243" t="s">
        <v>180</v>
      </c>
      <c r="B323" s="275" t="s">
        <v>680</v>
      </c>
      <c r="C323" s="275"/>
      <c r="D323" s="275"/>
      <c r="E323" s="273" t="s">
        <v>179</v>
      </c>
      <c r="F323" s="273"/>
      <c r="G323" s="273" t="s">
        <v>705</v>
      </c>
      <c r="H323" s="273"/>
      <c r="I323" s="273" t="s">
        <v>705</v>
      </c>
      <c r="J323" s="273"/>
      <c r="K323" s="273"/>
      <c r="L323" s="249" t="s">
        <v>179</v>
      </c>
      <c r="M323" s="249"/>
      <c r="N323" s="249"/>
      <c r="O323" s="275" t="s">
        <v>180</v>
      </c>
      <c r="P323" s="275"/>
      <c r="Q323" s="274" t="s">
        <v>966</v>
      </c>
      <c r="R323" s="274"/>
      <c r="S323" s="274"/>
      <c r="T323" s="274"/>
      <c r="U323" s="274"/>
    </row>
    <row r="324" spans="1:21" s="248" customFormat="1" ht="19.5" customHeight="1" hidden="1" outlineLevel="1">
      <c r="A324" s="316" t="s">
        <v>967</v>
      </c>
      <c r="B324" s="316"/>
      <c r="C324" s="316"/>
      <c r="D324" s="316"/>
      <c r="E324" s="273" t="s">
        <v>179</v>
      </c>
      <c r="F324" s="273"/>
      <c r="G324" s="273" t="s">
        <v>277</v>
      </c>
      <c r="H324" s="273"/>
      <c r="I324" s="273" t="s">
        <v>705</v>
      </c>
      <c r="J324" s="273"/>
      <c r="K324" s="273"/>
      <c r="L324" s="249" t="s">
        <v>179</v>
      </c>
      <c r="M324" s="249"/>
      <c r="N324" s="249"/>
      <c r="O324" s="275" t="s">
        <v>180</v>
      </c>
      <c r="P324" s="275"/>
      <c r="Q324" s="274" t="s">
        <v>180</v>
      </c>
      <c r="R324" s="274"/>
      <c r="S324" s="274"/>
      <c r="T324" s="274"/>
      <c r="U324" s="274"/>
    </row>
    <row r="325" spans="1:21" s="248" customFormat="1" ht="19.5" customHeight="1" hidden="1" outlineLevel="1">
      <c r="A325" s="315" t="s">
        <v>211</v>
      </c>
      <c r="B325" s="315"/>
      <c r="C325" s="315"/>
      <c r="D325" s="315"/>
      <c r="E325" s="315"/>
      <c r="F325" s="315"/>
      <c r="G325" s="315"/>
      <c r="H325" s="315"/>
      <c r="I325" s="315"/>
      <c r="J325" s="315"/>
      <c r="K325" s="315"/>
      <c r="L325" s="315"/>
      <c r="M325" s="315"/>
      <c r="N325" s="315"/>
      <c r="O325" s="315"/>
      <c r="P325" s="315"/>
      <c r="Q325" s="315"/>
      <c r="R325" s="315"/>
      <c r="S325" s="315"/>
      <c r="T325" s="315"/>
      <c r="U325" s="315"/>
    </row>
    <row r="326" spans="1:21" s="248" customFormat="1" ht="19.5" customHeight="1" hidden="1" outlineLevel="1">
      <c r="A326" s="243" t="s">
        <v>180</v>
      </c>
      <c r="B326" s="275" t="s">
        <v>669</v>
      </c>
      <c r="C326" s="275"/>
      <c r="D326" s="275"/>
      <c r="E326" s="273" t="s">
        <v>179</v>
      </c>
      <c r="F326" s="273"/>
      <c r="G326" s="273" t="s">
        <v>194</v>
      </c>
      <c r="H326" s="273"/>
      <c r="I326" s="273" t="s">
        <v>179</v>
      </c>
      <c r="J326" s="273"/>
      <c r="K326" s="273"/>
      <c r="L326" s="249" t="s">
        <v>179</v>
      </c>
      <c r="M326" s="249"/>
      <c r="N326" s="249"/>
      <c r="O326" s="275" t="s">
        <v>180</v>
      </c>
      <c r="P326" s="275"/>
      <c r="Q326" s="274" t="s">
        <v>968</v>
      </c>
      <c r="R326" s="274"/>
      <c r="S326" s="274"/>
      <c r="T326" s="274"/>
      <c r="U326" s="274"/>
    </row>
    <row r="327" spans="1:21" s="248" customFormat="1" ht="19.5" customHeight="1" hidden="1" outlineLevel="1">
      <c r="A327" s="316" t="s">
        <v>969</v>
      </c>
      <c r="B327" s="316"/>
      <c r="C327" s="316"/>
      <c r="D327" s="316"/>
      <c r="E327" s="273" t="s">
        <v>179</v>
      </c>
      <c r="F327" s="273"/>
      <c r="G327" s="273" t="s">
        <v>194</v>
      </c>
      <c r="H327" s="273"/>
      <c r="I327" s="273" t="s">
        <v>179</v>
      </c>
      <c r="J327" s="273"/>
      <c r="K327" s="273"/>
      <c r="L327" s="249" t="s">
        <v>179</v>
      </c>
      <c r="M327" s="249"/>
      <c r="N327" s="249"/>
      <c r="O327" s="275" t="s">
        <v>180</v>
      </c>
      <c r="P327" s="275"/>
      <c r="Q327" s="274" t="s">
        <v>180</v>
      </c>
      <c r="R327" s="274"/>
      <c r="S327" s="274"/>
      <c r="T327" s="274"/>
      <c r="U327" s="274"/>
    </row>
    <row r="328" spans="1:21" s="248" customFormat="1" ht="19.5" customHeight="1" hidden="1" outlineLevel="1">
      <c r="A328" s="315" t="s">
        <v>970</v>
      </c>
      <c r="B328" s="315"/>
      <c r="C328" s="315"/>
      <c r="D328" s="315"/>
      <c r="E328" s="315"/>
      <c r="F328" s="315"/>
      <c r="G328" s="315"/>
      <c r="H328" s="315"/>
      <c r="I328" s="315"/>
      <c r="J328" s="315"/>
      <c r="K328" s="315"/>
      <c r="L328" s="315"/>
      <c r="M328" s="315"/>
      <c r="N328" s="315"/>
      <c r="O328" s="315"/>
      <c r="P328" s="315"/>
      <c r="Q328" s="315"/>
      <c r="R328" s="315"/>
      <c r="S328" s="315"/>
      <c r="T328" s="315"/>
      <c r="U328" s="315"/>
    </row>
    <row r="329" spans="1:21" s="248" customFormat="1" ht="19.5" customHeight="1" hidden="1" outlineLevel="1">
      <c r="A329" s="243" t="s">
        <v>180</v>
      </c>
      <c r="B329" s="275" t="s">
        <v>680</v>
      </c>
      <c r="C329" s="275"/>
      <c r="D329" s="275"/>
      <c r="E329" s="273" t="s">
        <v>179</v>
      </c>
      <c r="F329" s="273"/>
      <c r="G329" s="273" t="s">
        <v>705</v>
      </c>
      <c r="H329" s="273"/>
      <c r="I329" s="273" t="s">
        <v>705</v>
      </c>
      <c r="J329" s="273"/>
      <c r="K329" s="273"/>
      <c r="L329" s="249" t="s">
        <v>179</v>
      </c>
      <c r="M329" s="249"/>
      <c r="N329" s="249"/>
      <c r="O329" s="275" t="s">
        <v>180</v>
      </c>
      <c r="P329" s="275"/>
      <c r="Q329" s="274" t="s">
        <v>971</v>
      </c>
      <c r="R329" s="274"/>
      <c r="S329" s="274"/>
      <c r="T329" s="274"/>
      <c r="U329" s="274"/>
    </row>
    <row r="330" spans="1:21" s="248" customFormat="1" ht="19.5" customHeight="1" hidden="1" outlineLevel="1">
      <c r="A330" s="243" t="s">
        <v>180</v>
      </c>
      <c r="B330" s="275" t="s">
        <v>680</v>
      </c>
      <c r="C330" s="275"/>
      <c r="D330" s="275"/>
      <c r="E330" s="273" t="s">
        <v>179</v>
      </c>
      <c r="F330" s="273"/>
      <c r="G330" s="273" t="s">
        <v>705</v>
      </c>
      <c r="H330" s="273"/>
      <c r="I330" s="273" t="s">
        <v>705</v>
      </c>
      <c r="J330" s="273"/>
      <c r="K330" s="273"/>
      <c r="L330" s="249" t="s">
        <v>179</v>
      </c>
      <c r="M330" s="249"/>
      <c r="N330" s="249"/>
      <c r="O330" s="275" t="s">
        <v>180</v>
      </c>
      <c r="P330" s="275"/>
      <c r="Q330" s="274" t="s">
        <v>972</v>
      </c>
      <c r="R330" s="274"/>
      <c r="S330" s="274"/>
      <c r="T330" s="274"/>
      <c r="U330" s="274"/>
    </row>
    <row r="331" spans="1:21" s="248" customFormat="1" ht="19.5" customHeight="1" hidden="1" outlineLevel="1">
      <c r="A331" s="316" t="s">
        <v>973</v>
      </c>
      <c r="B331" s="316"/>
      <c r="C331" s="316"/>
      <c r="D331" s="316"/>
      <c r="E331" s="273" t="s">
        <v>179</v>
      </c>
      <c r="F331" s="273"/>
      <c r="G331" s="273" t="s">
        <v>495</v>
      </c>
      <c r="H331" s="273"/>
      <c r="I331" s="273" t="s">
        <v>495</v>
      </c>
      <c r="J331" s="273"/>
      <c r="K331" s="273"/>
      <c r="L331" s="249" t="s">
        <v>179</v>
      </c>
      <c r="M331" s="249"/>
      <c r="N331" s="249"/>
      <c r="O331" s="275" t="s">
        <v>180</v>
      </c>
      <c r="P331" s="275"/>
      <c r="Q331" s="274" t="s">
        <v>180</v>
      </c>
      <c r="R331" s="274"/>
      <c r="S331" s="274"/>
      <c r="T331" s="274"/>
      <c r="U331" s="274"/>
    </row>
    <row r="332" spans="1:21" s="248" customFormat="1" ht="19.5" customHeight="1" hidden="1" outlineLevel="1">
      <c r="A332" s="315" t="s">
        <v>974</v>
      </c>
      <c r="B332" s="315"/>
      <c r="C332" s="315"/>
      <c r="D332" s="315"/>
      <c r="E332" s="315"/>
      <c r="F332" s="315"/>
      <c r="G332" s="315"/>
      <c r="H332" s="315"/>
      <c r="I332" s="315"/>
      <c r="J332" s="315"/>
      <c r="K332" s="315"/>
      <c r="L332" s="315"/>
      <c r="M332" s="315"/>
      <c r="N332" s="315"/>
      <c r="O332" s="315"/>
      <c r="P332" s="315"/>
      <c r="Q332" s="315"/>
      <c r="R332" s="315"/>
      <c r="S332" s="315"/>
      <c r="T332" s="315"/>
      <c r="U332" s="315"/>
    </row>
    <row r="333" spans="1:21" s="248" customFormat="1" ht="19.5" customHeight="1" hidden="1" outlineLevel="1">
      <c r="A333" s="243" t="s">
        <v>180</v>
      </c>
      <c r="B333" s="275" t="s">
        <v>680</v>
      </c>
      <c r="C333" s="275"/>
      <c r="D333" s="275"/>
      <c r="E333" s="273" t="s">
        <v>179</v>
      </c>
      <c r="F333" s="273"/>
      <c r="G333" s="273" t="s">
        <v>138</v>
      </c>
      <c r="H333" s="273"/>
      <c r="I333" s="273" t="s">
        <v>138</v>
      </c>
      <c r="J333" s="273"/>
      <c r="K333" s="273"/>
      <c r="L333" s="249" t="s">
        <v>179</v>
      </c>
      <c r="M333" s="249"/>
      <c r="N333" s="249"/>
      <c r="O333" s="275" t="s">
        <v>180</v>
      </c>
      <c r="P333" s="275"/>
      <c r="Q333" s="274" t="s">
        <v>965</v>
      </c>
      <c r="R333" s="274"/>
      <c r="S333" s="274"/>
      <c r="T333" s="274"/>
      <c r="U333" s="274"/>
    </row>
    <row r="334" spans="1:21" s="248" customFormat="1" ht="19.5" customHeight="1" hidden="1" outlineLevel="1">
      <c r="A334" s="316" t="s">
        <v>975</v>
      </c>
      <c r="B334" s="316"/>
      <c r="C334" s="316"/>
      <c r="D334" s="316"/>
      <c r="E334" s="273" t="s">
        <v>179</v>
      </c>
      <c r="F334" s="273"/>
      <c r="G334" s="273" t="s">
        <v>138</v>
      </c>
      <c r="H334" s="273"/>
      <c r="I334" s="273" t="s">
        <v>138</v>
      </c>
      <c r="J334" s="273"/>
      <c r="K334" s="273"/>
      <c r="L334" s="249" t="s">
        <v>179</v>
      </c>
      <c r="M334" s="249"/>
      <c r="N334" s="249"/>
      <c r="O334" s="275" t="s">
        <v>180</v>
      </c>
      <c r="P334" s="275"/>
      <c r="Q334" s="274" t="s">
        <v>180</v>
      </c>
      <c r="R334" s="274"/>
      <c r="S334" s="274"/>
      <c r="T334" s="274"/>
      <c r="U334" s="274"/>
    </row>
    <row r="335" spans="1:21" s="248" customFormat="1" ht="19.5" customHeight="1" hidden="1" outlineLevel="1">
      <c r="A335" s="315" t="s">
        <v>976</v>
      </c>
      <c r="B335" s="315"/>
      <c r="C335" s="315"/>
      <c r="D335" s="315"/>
      <c r="E335" s="315"/>
      <c r="F335" s="315"/>
      <c r="G335" s="315"/>
      <c r="H335" s="315"/>
      <c r="I335" s="315"/>
      <c r="J335" s="315"/>
      <c r="K335" s="315"/>
      <c r="L335" s="315"/>
      <c r="M335" s="315"/>
      <c r="N335" s="315"/>
      <c r="O335" s="315"/>
      <c r="P335" s="315"/>
      <c r="Q335" s="315"/>
      <c r="R335" s="315"/>
      <c r="S335" s="315"/>
      <c r="T335" s="315"/>
      <c r="U335" s="315"/>
    </row>
    <row r="336" spans="1:21" s="248" customFormat="1" ht="19.5" customHeight="1" hidden="1" outlineLevel="1">
      <c r="A336" s="243" t="s">
        <v>180</v>
      </c>
      <c r="B336" s="275" t="s">
        <v>680</v>
      </c>
      <c r="C336" s="275"/>
      <c r="D336" s="275"/>
      <c r="E336" s="273" t="s">
        <v>179</v>
      </c>
      <c r="F336" s="273"/>
      <c r="G336" s="273" t="s">
        <v>977</v>
      </c>
      <c r="H336" s="273"/>
      <c r="I336" s="273" t="s">
        <v>977</v>
      </c>
      <c r="J336" s="273"/>
      <c r="K336" s="273"/>
      <c r="L336" s="249" t="s">
        <v>179</v>
      </c>
      <c r="M336" s="249"/>
      <c r="N336" s="249"/>
      <c r="O336" s="275" t="s">
        <v>180</v>
      </c>
      <c r="P336" s="275"/>
      <c r="Q336" s="274" t="s">
        <v>978</v>
      </c>
      <c r="R336" s="274"/>
      <c r="S336" s="274"/>
      <c r="T336" s="274"/>
      <c r="U336" s="274"/>
    </row>
    <row r="337" spans="1:21" s="248" customFormat="1" ht="19.5" customHeight="1" hidden="1" outlineLevel="1">
      <c r="A337" s="243" t="s">
        <v>180</v>
      </c>
      <c r="B337" s="275" t="s">
        <v>680</v>
      </c>
      <c r="C337" s="275"/>
      <c r="D337" s="275"/>
      <c r="E337" s="273" t="s">
        <v>179</v>
      </c>
      <c r="F337" s="273"/>
      <c r="G337" s="273" t="s">
        <v>705</v>
      </c>
      <c r="H337" s="273"/>
      <c r="I337" s="273" t="s">
        <v>705</v>
      </c>
      <c r="J337" s="273"/>
      <c r="K337" s="273"/>
      <c r="L337" s="249" t="s">
        <v>179</v>
      </c>
      <c r="M337" s="249"/>
      <c r="N337" s="249"/>
      <c r="O337" s="275" t="s">
        <v>180</v>
      </c>
      <c r="P337" s="275"/>
      <c r="Q337" s="274" t="s">
        <v>971</v>
      </c>
      <c r="R337" s="274"/>
      <c r="S337" s="274"/>
      <c r="T337" s="274"/>
      <c r="U337" s="274"/>
    </row>
    <row r="338" spans="1:21" s="248" customFormat="1" ht="19.5" customHeight="1" hidden="1" outlineLevel="1">
      <c r="A338" s="316" t="s">
        <v>979</v>
      </c>
      <c r="B338" s="316"/>
      <c r="C338" s="316"/>
      <c r="D338" s="316"/>
      <c r="E338" s="273" t="s">
        <v>179</v>
      </c>
      <c r="F338" s="273"/>
      <c r="G338" s="273" t="s">
        <v>980</v>
      </c>
      <c r="H338" s="273"/>
      <c r="I338" s="273" t="s">
        <v>980</v>
      </c>
      <c r="J338" s="273"/>
      <c r="K338" s="273"/>
      <c r="L338" s="249" t="s">
        <v>179</v>
      </c>
      <c r="M338" s="249"/>
      <c r="N338" s="249"/>
      <c r="O338" s="275" t="s">
        <v>180</v>
      </c>
      <c r="P338" s="275"/>
      <c r="Q338" s="274" t="s">
        <v>180</v>
      </c>
      <c r="R338" s="274"/>
      <c r="S338" s="274"/>
      <c r="T338" s="274"/>
      <c r="U338" s="274"/>
    </row>
    <row r="339" spans="1:21" s="248" customFormat="1" ht="19.5" customHeight="1" hidden="1" outlineLevel="1">
      <c r="A339" s="315" t="s">
        <v>981</v>
      </c>
      <c r="B339" s="315"/>
      <c r="C339" s="315"/>
      <c r="D339" s="315"/>
      <c r="E339" s="315"/>
      <c r="F339" s="315"/>
      <c r="G339" s="315"/>
      <c r="H339" s="315"/>
      <c r="I339" s="315"/>
      <c r="J339" s="315"/>
      <c r="K339" s="315"/>
      <c r="L339" s="315"/>
      <c r="M339" s="315"/>
      <c r="N339" s="315"/>
      <c r="O339" s="315"/>
      <c r="P339" s="315"/>
      <c r="Q339" s="315"/>
      <c r="R339" s="315"/>
      <c r="S339" s="315"/>
      <c r="T339" s="315"/>
      <c r="U339" s="315"/>
    </row>
    <row r="340" spans="1:21" s="248" customFormat="1" ht="19.5" customHeight="1" hidden="1" outlineLevel="1">
      <c r="A340" s="243" t="s">
        <v>180</v>
      </c>
      <c r="B340" s="275" t="s">
        <v>665</v>
      </c>
      <c r="C340" s="275"/>
      <c r="D340" s="275"/>
      <c r="E340" s="273" t="s">
        <v>179</v>
      </c>
      <c r="F340" s="273"/>
      <c r="G340" s="273" t="s">
        <v>709</v>
      </c>
      <c r="H340" s="273"/>
      <c r="I340" s="273" t="s">
        <v>138</v>
      </c>
      <c r="J340" s="273"/>
      <c r="K340" s="273"/>
      <c r="L340" s="249" t="s">
        <v>179</v>
      </c>
      <c r="M340" s="249"/>
      <c r="N340" s="249"/>
      <c r="O340" s="275" t="s">
        <v>180</v>
      </c>
      <c r="P340" s="275"/>
      <c r="Q340" s="274" t="s">
        <v>982</v>
      </c>
      <c r="R340" s="274"/>
      <c r="S340" s="274"/>
      <c r="T340" s="274"/>
      <c r="U340" s="274"/>
    </row>
    <row r="341" spans="1:21" s="248" customFormat="1" ht="19.5" customHeight="1" hidden="1" outlineLevel="1">
      <c r="A341" s="243" t="s">
        <v>180</v>
      </c>
      <c r="B341" s="275" t="s">
        <v>34</v>
      </c>
      <c r="C341" s="275"/>
      <c r="D341" s="275"/>
      <c r="E341" s="273" t="s">
        <v>179</v>
      </c>
      <c r="F341" s="273"/>
      <c r="G341" s="273" t="s">
        <v>983</v>
      </c>
      <c r="H341" s="273"/>
      <c r="I341" s="273" t="s">
        <v>983</v>
      </c>
      <c r="J341" s="273"/>
      <c r="K341" s="273"/>
      <c r="L341" s="249" t="s">
        <v>179</v>
      </c>
      <c r="M341" s="249"/>
      <c r="N341" s="249"/>
      <c r="O341" s="275" t="s">
        <v>180</v>
      </c>
      <c r="P341" s="275"/>
      <c r="Q341" s="274" t="s">
        <v>984</v>
      </c>
      <c r="R341" s="274"/>
      <c r="S341" s="274"/>
      <c r="T341" s="274"/>
      <c r="U341" s="274"/>
    </row>
    <row r="342" spans="1:21" s="248" customFormat="1" ht="19.5" customHeight="1" hidden="1" outlineLevel="1">
      <c r="A342" s="243" t="s">
        <v>180</v>
      </c>
      <c r="B342" s="275" t="s">
        <v>680</v>
      </c>
      <c r="C342" s="275"/>
      <c r="D342" s="275"/>
      <c r="E342" s="273" t="s">
        <v>179</v>
      </c>
      <c r="F342" s="273"/>
      <c r="G342" s="273" t="s">
        <v>260</v>
      </c>
      <c r="H342" s="273"/>
      <c r="I342" s="273" t="s">
        <v>260</v>
      </c>
      <c r="J342" s="273"/>
      <c r="K342" s="273"/>
      <c r="L342" s="249" t="s">
        <v>179</v>
      </c>
      <c r="M342" s="249"/>
      <c r="N342" s="249"/>
      <c r="O342" s="275" t="s">
        <v>180</v>
      </c>
      <c r="P342" s="275"/>
      <c r="Q342" s="274" t="s">
        <v>985</v>
      </c>
      <c r="R342" s="274"/>
      <c r="S342" s="274"/>
      <c r="T342" s="274"/>
      <c r="U342" s="274"/>
    </row>
    <row r="343" spans="1:21" s="248" customFormat="1" ht="19.5" customHeight="1" hidden="1" outlineLevel="1">
      <c r="A343" s="243" t="s">
        <v>180</v>
      </c>
      <c r="B343" s="275" t="s">
        <v>669</v>
      </c>
      <c r="C343" s="275"/>
      <c r="D343" s="275"/>
      <c r="E343" s="273" t="s">
        <v>179</v>
      </c>
      <c r="F343" s="273"/>
      <c r="G343" s="273" t="s">
        <v>705</v>
      </c>
      <c r="H343" s="273"/>
      <c r="I343" s="273" t="s">
        <v>705</v>
      </c>
      <c r="J343" s="273"/>
      <c r="K343" s="273"/>
      <c r="L343" s="249" t="s">
        <v>179</v>
      </c>
      <c r="M343" s="249"/>
      <c r="N343" s="249"/>
      <c r="O343" s="275" t="s">
        <v>180</v>
      </c>
      <c r="P343" s="275"/>
      <c r="Q343" s="274" t="s">
        <v>986</v>
      </c>
      <c r="R343" s="274"/>
      <c r="S343" s="274"/>
      <c r="T343" s="274"/>
      <c r="U343" s="274"/>
    </row>
    <row r="344" spans="1:21" s="248" customFormat="1" ht="19.5" customHeight="1" hidden="1" outlineLevel="1">
      <c r="A344" s="243" t="s">
        <v>180</v>
      </c>
      <c r="B344" s="275" t="s">
        <v>680</v>
      </c>
      <c r="C344" s="275"/>
      <c r="D344" s="275"/>
      <c r="E344" s="273" t="s">
        <v>179</v>
      </c>
      <c r="F344" s="273"/>
      <c r="G344" s="273" t="s">
        <v>144</v>
      </c>
      <c r="H344" s="273"/>
      <c r="I344" s="273" t="s">
        <v>144</v>
      </c>
      <c r="J344" s="273"/>
      <c r="K344" s="273"/>
      <c r="L344" s="249" t="s">
        <v>179</v>
      </c>
      <c r="M344" s="249"/>
      <c r="N344" s="249"/>
      <c r="O344" s="275" t="s">
        <v>180</v>
      </c>
      <c r="P344" s="275"/>
      <c r="Q344" s="274" t="s">
        <v>987</v>
      </c>
      <c r="R344" s="274"/>
      <c r="S344" s="274"/>
      <c r="T344" s="274"/>
      <c r="U344" s="274"/>
    </row>
    <row r="345" spans="1:21" s="248" customFormat="1" ht="19.5" customHeight="1" hidden="1" outlineLevel="1">
      <c r="A345" s="243" t="s">
        <v>180</v>
      </c>
      <c r="B345" s="275" t="s">
        <v>680</v>
      </c>
      <c r="C345" s="275"/>
      <c r="D345" s="275"/>
      <c r="E345" s="273" t="s">
        <v>179</v>
      </c>
      <c r="F345" s="273"/>
      <c r="G345" s="273" t="s">
        <v>705</v>
      </c>
      <c r="H345" s="273"/>
      <c r="I345" s="273" t="s">
        <v>705</v>
      </c>
      <c r="J345" s="273"/>
      <c r="K345" s="273"/>
      <c r="L345" s="249" t="s">
        <v>179</v>
      </c>
      <c r="M345" s="249"/>
      <c r="N345" s="249"/>
      <c r="O345" s="275" t="s">
        <v>180</v>
      </c>
      <c r="P345" s="275"/>
      <c r="Q345" s="274" t="s">
        <v>988</v>
      </c>
      <c r="R345" s="274"/>
      <c r="S345" s="274"/>
      <c r="T345" s="274"/>
      <c r="U345" s="274"/>
    </row>
    <row r="346" spans="1:21" s="248" customFormat="1" ht="19.5" customHeight="1" hidden="1" outlineLevel="1">
      <c r="A346" s="243" t="s">
        <v>180</v>
      </c>
      <c r="B346" s="275" t="s">
        <v>680</v>
      </c>
      <c r="C346" s="275"/>
      <c r="D346" s="275"/>
      <c r="E346" s="273" t="s">
        <v>179</v>
      </c>
      <c r="F346" s="273"/>
      <c r="G346" s="273" t="s">
        <v>989</v>
      </c>
      <c r="H346" s="273"/>
      <c r="I346" s="273" t="s">
        <v>989</v>
      </c>
      <c r="J346" s="273"/>
      <c r="K346" s="273"/>
      <c r="L346" s="249" t="s">
        <v>179</v>
      </c>
      <c r="M346" s="249"/>
      <c r="N346" s="249"/>
      <c r="O346" s="275" t="s">
        <v>180</v>
      </c>
      <c r="P346" s="275"/>
      <c r="Q346" s="274" t="s">
        <v>990</v>
      </c>
      <c r="R346" s="274"/>
      <c r="S346" s="274"/>
      <c r="T346" s="274"/>
      <c r="U346" s="274"/>
    </row>
    <row r="347" spans="1:21" s="248" customFormat="1" ht="19.5" customHeight="1" hidden="1" outlineLevel="1">
      <c r="A347" s="316" t="s">
        <v>991</v>
      </c>
      <c r="B347" s="316"/>
      <c r="C347" s="316"/>
      <c r="D347" s="316"/>
      <c r="E347" s="273" t="s">
        <v>179</v>
      </c>
      <c r="F347" s="273"/>
      <c r="G347" s="273" t="s">
        <v>992</v>
      </c>
      <c r="H347" s="273"/>
      <c r="I347" s="273" t="s">
        <v>993</v>
      </c>
      <c r="J347" s="273"/>
      <c r="K347" s="273"/>
      <c r="L347" s="249" t="s">
        <v>179</v>
      </c>
      <c r="M347" s="249"/>
      <c r="N347" s="249"/>
      <c r="O347" s="275" t="s">
        <v>180</v>
      </c>
      <c r="P347" s="275"/>
      <c r="Q347" s="274" t="s">
        <v>180</v>
      </c>
      <c r="R347" s="274"/>
      <c r="S347" s="274"/>
      <c r="T347" s="274"/>
      <c r="U347" s="274"/>
    </row>
    <row r="348" spans="1:21" s="248" customFormat="1" ht="19.5" customHeight="1" hidden="1" outlineLevel="1">
      <c r="A348" s="315" t="s">
        <v>193</v>
      </c>
      <c r="B348" s="315"/>
      <c r="C348" s="315"/>
      <c r="D348" s="315"/>
      <c r="E348" s="315"/>
      <c r="F348" s="315"/>
      <c r="G348" s="315"/>
      <c r="H348" s="315"/>
      <c r="I348" s="315"/>
      <c r="J348" s="315"/>
      <c r="K348" s="315"/>
      <c r="L348" s="315"/>
      <c r="M348" s="315"/>
      <c r="N348" s="315"/>
      <c r="O348" s="315"/>
      <c r="P348" s="315"/>
      <c r="Q348" s="315"/>
      <c r="R348" s="315"/>
      <c r="S348" s="315"/>
      <c r="T348" s="315"/>
      <c r="U348" s="315"/>
    </row>
    <row r="349" spans="1:21" s="248" customFormat="1" ht="19.5" customHeight="1" hidden="1" outlineLevel="1">
      <c r="A349" s="243" t="s">
        <v>180</v>
      </c>
      <c r="B349" s="275" t="s">
        <v>680</v>
      </c>
      <c r="C349" s="275"/>
      <c r="D349" s="275"/>
      <c r="E349" s="273" t="s">
        <v>179</v>
      </c>
      <c r="F349" s="273"/>
      <c r="G349" s="273" t="s">
        <v>705</v>
      </c>
      <c r="H349" s="273"/>
      <c r="I349" s="273" t="s">
        <v>705</v>
      </c>
      <c r="J349" s="273"/>
      <c r="K349" s="273"/>
      <c r="L349" s="249" t="s">
        <v>179</v>
      </c>
      <c r="M349" s="249"/>
      <c r="N349" s="249"/>
      <c r="O349" s="275" t="s">
        <v>180</v>
      </c>
      <c r="P349" s="275"/>
      <c r="Q349" s="274" t="s">
        <v>965</v>
      </c>
      <c r="R349" s="274"/>
      <c r="S349" s="274"/>
      <c r="T349" s="274"/>
      <c r="U349" s="274"/>
    </row>
    <row r="350" spans="1:21" s="248" customFormat="1" ht="19.5" customHeight="1" hidden="1" outlineLevel="1">
      <c r="A350" s="243" t="s">
        <v>180</v>
      </c>
      <c r="B350" s="275" t="s">
        <v>665</v>
      </c>
      <c r="C350" s="275"/>
      <c r="D350" s="275"/>
      <c r="E350" s="273" t="s">
        <v>179</v>
      </c>
      <c r="F350" s="273"/>
      <c r="G350" s="273" t="s">
        <v>771</v>
      </c>
      <c r="H350" s="273"/>
      <c r="I350" s="273" t="s">
        <v>771</v>
      </c>
      <c r="J350" s="273"/>
      <c r="K350" s="273"/>
      <c r="L350" s="249" t="s">
        <v>179</v>
      </c>
      <c r="M350" s="249"/>
      <c r="N350" s="249"/>
      <c r="O350" s="275" t="s">
        <v>180</v>
      </c>
      <c r="P350" s="275"/>
      <c r="Q350" s="274" t="s">
        <v>994</v>
      </c>
      <c r="R350" s="274"/>
      <c r="S350" s="274"/>
      <c r="T350" s="274"/>
      <c r="U350" s="274"/>
    </row>
    <row r="351" spans="1:21" s="248" customFormat="1" ht="19.5" customHeight="1" hidden="1" outlineLevel="1">
      <c r="A351" s="243" t="s">
        <v>180</v>
      </c>
      <c r="B351" s="275" t="s">
        <v>34</v>
      </c>
      <c r="C351" s="275"/>
      <c r="D351" s="275"/>
      <c r="E351" s="273" t="s">
        <v>179</v>
      </c>
      <c r="F351" s="273"/>
      <c r="G351" s="273" t="s">
        <v>138</v>
      </c>
      <c r="H351" s="273"/>
      <c r="I351" s="273" t="s">
        <v>138</v>
      </c>
      <c r="J351" s="273"/>
      <c r="K351" s="273"/>
      <c r="L351" s="249" t="s">
        <v>179</v>
      </c>
      <c r="M351" s="249"/>
      <c r="N351" s="249"/>
      <c r="O351" s="275" t="s">
        <v>180</v>
      </c>
      <c r="P351" s="275"/>
      <c r="Q351" s="274" t="s">
        <v>965</v>
      </c>
      <c r="R351" s="274"/>
      <c r="S351" s="274"/>
      <c r="T351" s="274"/>
      <c r="U351" s="274"/>
    </row>
    <row r="352" spans="1:21" s="248" customFormat="1" ht="19.5" customHeight="1" hidden="1" outlineLevel="1">
      <c r="A352" s="316" t="s">
        <v>995</v>
      </c>
      <c r="B352" s="316"/>
      <c r="C352" s="316"/>
      <c r="D352" s="316"/>
      <c r="E352" s="273" t="s">
        <v>179</v>
      </c>
      <c r="F352" s="273"/>
      <c r="G352" s="273" t="s">
        <v>718</v>
      </c>
      <c r="H352" s="273"/>
      <c r="I352" s="273" t="s">
        <v>718</v>
      </c>
      <c r="J352" s="273"/>
      <c r="K352" s="273"/>
      <c r="L352" s="249" t="s">
        <v>179</v>
      </c>
      <c r="M352" s="249"/>
      <c r="N352" s="249"/>
      <c r="O352" s="275" t="s">
        <v>180</v>
      </c>
      <c r="P352" s="275"/>
      <c r="Q352" s="274" t="s">
        <v>180</v>
      </c>
      <c r="R352" s="274"/>
      <c r="S352" s="274"/>
      <c r="T352" s="274"/>
      <c r="U352" s="274"/>
    </row>
    <row r="353" spans="1:21" s="248" customFormat="1" ht="19.5" customHeight="1" collapsed="1">
      <c r="A353" s="315" t="s">
        <v>996</v>
      </c>
      <c r="B353" s="315"/>
      <c r="C353" s="315"/>
      <c r="D353" s="315"/>
      <c r="E353" s="315"/>
      <c r="F353" s="315"/>
      <c r="G353" s="315"/>
      <c r="H353" s="315"/>
      <c r="I353" s="315"/>
      <c r="J353" s="315"/>
      <c r="K353" s="315"/>
      <c r="L353" s="315"/>
      <c r="M353" s="315"/>
      <c r="N353" s="315"/>
      <c r="O353" s="315"/>
      <c r="P353" s="315"/>
      <c r="Q353" s="315"/>
      <c r="R353" s="315"/>
      <c r="S353" s="315"/>
      <c r="T353" s="315"/>
      <c r="U353" s="315"/>
    </row>
    <row r="354" spans="1:21" s="248" customFormat="1" ht="27.75" customHeight="1">
      <c r="A354" s="243" t="s">
        <v>180</v>
      </c>
      <c r="B354" s="275" t="s">
        <v>997</v>
      </c>
      <c r="C354" s="275"/>
      <c r="D354" s="275"/>
      <c r="E354" s="273">
        <v>1200</v>
      </c>
      <c r="F354" s="273"/>
      <c r="G354" s="273">
        <v>1443</v>
      </c>
      <c r="H354" s="273"/>
      <c r="I354" s="273" t="s">
        <v>209</v>
      </c>
      <c r="J354" s="273"/>
      <c r="K354" s="273"/>
      <c r="L354" s="249">
        <v>2250</v>
      </c>
      <c r="M354" s="249">
        <f>E354+1600</f>
        <v>2800</v>
      </c>
      <c r="N354" s="257">
        <v>2800</v>
      </c>
      <c r="O354" s="320">
        <v>2480</v>
      </c>
      <c r="P354" s="321"/>
      <c r="Q354" s="274" t="s">
        <v>998</v>
      </c>
      <c r="R354" s="274"/>
      <c r="S354" s="274"/>
      <c r="T354" s="274"/>
      <c r="U354" s="274"/>
    </row>
    <row r="355" spans="1:21" s="248" customFormat="1" ht="19.5" customHeight="1">
      <c r="A355" s="315" t="s">
        <v>211</v>
      </c>
      <c r="B355" s="315"/>
      <c r="C355" s="315"/>
      <c r="D355" s="315"/>
      <c r="E355" s="315"/>
      <c r="F355" s="315"/>
      <c r="G355" s="315"/>
      <c r="H355" s="315"/>
      <c r="I355" s="315"/>
      <c r="J355" s="315"/>
      <c r="K355" s="315"/>
      <c r="L355" s="315"/>
      <c r="M355" s="315"/>
      <c r="N355" s="315"/>
      <c r="O355" s="315"/>
      <c r="P355" s="315"/>
      <c r="Q355" s="315"/>
      <c r="R355" s="315"/>
      <c r="S355" s="315"/>
      <c r="T355" s="315"/>
      <c r="U355" s="315"/>
    </row>
    <row r="356" spans="1:21" s="248" customFormat="1" ht="24.75" customHeight="1">
      <c r="A356" s="243" t="s">
        <v>180</v>
      </c>
      <c r="B356" s="275" t="s">
        <v>34</v>
      </c>
      <c r="C356" s="275"/>
      <c r="D356" s="275"/>
      <c r="E356" s="273">
        <v>10500</v>
      </c>
      <c r="F356" s="273"/>
      <c r="G356" s="273">
        <v>3095</v>
      </c>
      <c r="H356" s="273"/>
      <c r="I356" s="273" t="s">
        <v>999</v>
      </c>
      <c r="J356" s="273"/>
      <c r="K356" s="273"/>
      <c r="L356" s="249">
        <v>12500</v>
      </c>
      <c r="M356" s="249"/>
      <c r="N356" s="249"/>
      <c r="O356" s="273">
        <v>13140</v>
      </c>
      <c r="P356" s="273"/>
      <c r="Q356" s="274" t="s">
        <v>1000</v>
      </c>
      <c r="R356" s="274"/>
      <c r="S356" s="274"/>
      <c r="T356" s="274"/>
      <c r="U356" s="274"/>
    </row>
    <row r="357" spans="1:21" s="248" customFormat="1" ht="24.75" customHeight="1">
      <c r="A357" s="243" t="s">
        <v>180</v>
      </c>
      <c r="B357" s="275" t="s">
        <v>34</v>
      </c>
      <c r="C357" s="275"/>
      <c r="D357" s="275"/>
      <c r="E357" s="273" t="s">
        <v>30</v>
      </c>
      <c r="F357" s="273"/>
      <c r="G357" s="273" t="s">
        <v>179</v>
      </c>
      <c r="H357" s="273"/>
      <c r="I357" s="273" t="s">
        <v>179</v>
      </c>
      <c r="J357" s="273"/>
      <c r="K357" s="273"/>
      <c r="L357" s="249" t="s">
        <v>30</v>
      </c>
      <c r="M357" s="249"/>
      <c r="N357" s="249"/>
      <c r="O357" s="273">
        <f>L357+N357</f>
        <v>100</v>
      </c>
      <c r="P357" s="273"/>
      <c r="Q357" s="274" t="s">
        <v>1001</v>
      </c>
      <c r="R357" s="274"/>
      <c r="S357" s="274"/>
      <c r="T357" s="274"/>
      <c r="U357" s="274"/>
    </row>
    <row r="358" spans="1:21" s="248" customFormat="1" ht="24.75" customHeight="1">
      <c r="A358" s="243" t="s">
        <v>180</v>
      </c>
      <c r="B358" s="275" t="s">
        <v>34</v>
      </c>
      <c r="C358" s="275"/>
      <c r="D358" s="275"/>
      <c r="E358" s="273" t="s">
        <v>352</v>
      </c>
      <c r="F358" s="273"/>
      <c r="G358" s="273" t="s">
        <v>138</v>
      </c>
      <c r="H358" s="273"/>
      <c r="I358" s="273" t="s">
        <v>138</v>
      </c>
      <c r="J358" s="273"/>
      <c r="K358" s="273"/>
      <c r="L358" s="249" t="s">
        <v>282</v>
      </c>
      <c r="M358" s="249"/>
      <c r="N358" s="249"/>
      <c r="O358" s="273">
        <v>600</v>
      </c>
      <c r="P358" s="273"/>
      <c r="Q358" s="274" t="s">
        <v>1002</v>
      </c>
      <c r="R358" s="274"/>
      <c r="S358" s="274"/>
      <c r="T358" s="274"/>
      <c r="U358" s="274"/>
    </row>
    <row r="359" spans="1:21" s="248" customFormat="1" ht="24.75" customHeight="1">
      <c r="A359" s="243" t="s">
        <v>180</v>
      </c>
      <c r="B359" s="275" t="s">
        <v>669</v>
      </c>
      <c r="C359" s="275"/>
      <c r="D359" s="275"/>
      <c r="E359" s="273" t="s">
        <v>282</v>
      </c>
      <c r="F359" s="273"/>
      <c r="G359" s="273" t="s">
        <v>282</v>
      </c>
      <c r="H359" s="273"/>
      <c r="I359" s="273" t="s">
        <v>282</v>
      </c>
      <c r="J359" s="273"/>
      <c r="K359" s="273"/>
      <c r="L359" s="249" t="s">
        <v>282</v>
      </c>
      <c r="M359" s="249"/>
      <c r="N359" s="249"/>
      <c r="O359" s="273">
        <v>700</v>
      </c>
      <c r="P359" s="273"/>
      <c r="Q359" s="274" t="s">
        <v>1003</v>
      </c>
      <c r="R359" s="274"/>
      <c r="S359" s="274"/>
      <c r="T359" s="274"/>
      <c r="U359" s="274"/>
    </row>
    <row r="360" spans="1:21" s="248" customFormat="1" ht="24.75" customHeight="1">
      <c r="A360" s="243" t="s">
        <v>180</v>
      </c>
      <c r="B360" s="275" t="s">
        <v>669</v>
      </c>
      <c r="C360" s="275"/>
      <c r="D360" s="275"/>
      <c r="E360" s="273">
        <v>1200</v>
      </c>
      <c r="F360" s="273"/>
      <c r="G360" s="273">
        <v>1200</v>
      </c>
      <c r="H360" s="273"/>
      <c r="I360" s="273">
        <v>1200</v>
      </c>
      <c r="J360" s="273"/>
      <c r="K360" s="273"/>
      <c r="L360" s="249">
        <v>1200</v>
      </c>
      <c r="M360" s="249"/>
      <c r="N360" s="249"/>
      <c r="O360" s="273">
        <v>1500</v>
      </c>
      <c r="P360" s="273"/>
      <c r="Q360" s="274" t="s">
        <v>1004</v>
      </c>
      <c r="R360" s="274"/>
      <c r="S360" s="274"/>
      <c r="T360" s="274"/>
      <c r="U360" s="274"/>
    </row>
    <row r="361" spans="1:21" s="248" customFormat="1" ht="24.75" customHeight="1" hidden="1" outlineLevel="1">
      <c r="A361" s="243" t="s">
        <v>180</v>
      </c>
      <c r="B361" s="275" t="s">
        <v>665</v>
      </c>
      <c r="C361" s="275"/>
      <c r="D361" s="275"/>
      <c r="E361" s="273" t="s">
        <v>179</v>
      </c>
      <c r="F361" s="273"/>
      <c r="G361" s="273" t="s">
        <v>376</v>
      </c>
      <c r="H361" s="273"/>
      <c r="I361" s="273" t="s">
        <v>376</v>
      </c>
      <c r="J361" s="273"/>
      <c r="K361" s="273"/>
      <c r="L361" s="249" t="s">
        <v>179</v>
      </c>
      <c r="M361" s="249"/>
      <c r="N361" s="249"/>
      <c r="O361" s="267" t="s">
        <v>180</v>
      </c>
      <c r="P361" s="267"/>
      <c r="Q361" s="274" t="s">
        <v>1005</v>
      </c>
      <c r="R361" s="274"/>
      <c r="S361" s="274"/>
      <c r="T361" s="274"/>
      <c r="U361" s="274"/>
    </row>
    <row r="362" spans="1:21" s="248" customFormat="1" ht="24.75" customHeight="1" hidden="1" outlineLevel="1">
      <c r="A362" s="243" t="s">
        <v>180</v>
      </c>
      <c r="B362" s="275" t="s">
        <v>34</v>
      </c>
      <c r="C362" s="275"/>
      <c r="D362" s="275"/>
      <c r="E362" s="273" t="s">
        <v>179</v>
      </c>
      <c r="F362" s="273"/>
      <c r="G362" s="273" t="s">
        <v>377</v>
      </c>
      <c r="H362" s="273"/>
      <c r="I362" s="273" t="s">
        <v>1006</v>
      </c>
      <c r="J362" s="273"/>
      <c r="K362" s="273"/>
      <c r="L362" s="249" t="s">
        <v>179</v>
      </c>
      <c r="M362" s="249"/>
      <c r="N362" s="249"/>
      <c r="O362" s="267" t="s">
        <v>180</v>
      </c>
      <c r="P362" s="267"/>
      <c r="Q362" s="274" t="s">
        <v>1007</v>
      </c>
      <c r="R362" s="274"/>
      <c r="S362" s="274"/>
      <c r="T362" s="274"/>
      <c r="U362" s="274"/>
    </row>
    <row r="363" spans="1:21" s="248" customFormat="1" ht="24.75" customHeight="1" hidden="1" outlineLevel="1">
      <c r="A363" s="243" t="s">
        <v>180</v>
      </c>
      <c r="B363" s="275" t="s">
        <v>34</v>
      </c>
      <c r="C363" s="275"/>
      <c r="D363" s="275"/>
      <c r="E363" s="273" t="s">
        <v>179</v>
      </c>
      <c r="F363" s="273"/>
      <c r="G363" s="273" t="s">
        <v>1008</v>
      </c>
      <c r="H363" s="273"/>
      <c r="I363" s="273" t="s">
        <v>135</v>
      </c>
      <c r="J363" s="273"/>
      <c r="K363" s="273"/>
      <c r="L363" s="249" t="s">
        <v>179</v>
      </c>
      <c r="M363" s="249"/>
      <c r="N363" s="249"/>
      <c r="O363" s="267" t="s">
        <v>180</v>
      </c>
      <c r="P363" s="267"/>
      <c r="Q363" s="274" t="s">
        <v>1009</v>
      </c>
      <c r="R363" s="274"/>
      <c r="S363" s="274"/>
      <c r="T363" s="274"/>
      <c r="U363" s="274"/>
    </row>
    <row r="364" spans="1:21" s="248" customFormat="1" ht="24.75" customHeight="1" hidden="1" outlineLevel="1">
      <c r="A364" s="243" t="s">
        <v>180</v>
      </c>
      <c r="B364" s="275" t="s">
        <v>34</v>
      </c>
      <c r="C364" s="275"/>
      <c r="D364" s="275"/>
      <c r="E364" s="273" t="s">
        <v>179</v>
      </c>
      <c r="F364" s="273"/>
      <c r="G364" s="273" t="s">
        <v>1010</v>
      </c>
      <c r="H364" s="273"/>
      <c r="I364" s="273" t="s">
        <v>1011</v>
      </c>
      <c r="J364" s="273"/>
      <c r="K364" s="273"/>
      <c r="L364" s="249" t="s">
        <v>179</v>
      </c>
      <c r="M364" s="249"/>
      <c r="N364" s="249"/>
      <c r="O364" s="267" t="s">
        <v>180</v>
      </c>
      <c r="P364" s="267"/>
      <c r="Q364" s="274" t="s">
        <v>1012</v>
      </c>
      <c r="R364" s="274"/>
      <c r="S364" s="274"/>
      <c r="T364" s="274"/>
      <c r="U364" s="274"/>
    </row>
    <row r="365" spans="1:21" s="248" customFormat="1" ht="24.75" customHeight="1" hidden="1" outlineLevel="1">
      <c r="A365" s="243" t="s">
        <v>180</v>
      </c>
      <c r="B365" s="275" t="s">
        <v>34</v>
      </c>
      <c r="C365" s="275"/>
      <c r="D365" s="275"/>
      <c r="E365" s="273" t="s">
        <v>179</v>
      </c>
      <c r="F365" s="273"/>
      <c r="G365" s="273" t="s">
        <v>1013</v>
      </c>
      <c r="H365" s="273"/>
      <c r="I365" s="273" t="s">
        <v>1013</v>
      </c>
      <c r="J365" s="273"/>
      <c r="K365" s="273"/>
      <c r="L365" s="249" t="s">
        <v>179</v>
      </c>
      <c r="M365" s="249"/>
      <c r="N365" s="249"/>
      <c r="O365" s="267" t="s">
        <v>180</v>
      </c>
      <c r="P365" s="267"/>
      <c r="Q365" s="274" t="s">
        <v>1014</v>
      </c>
      <c r="R365" s="274"/>
      <c r="S365" s="274"/>
      <c r="T365" s="274"/>
      <c r="U365" s="274"/>
    </row>
    <row r="366" spans="1:21" s="248" customFormat="1" ht="24.75" customHeight="1" hidden="1" outlineLevel="1">
      <c r="A366" s="243" t="s">
        <v>180</v>
      </c>
      <c r="B366" s="275" t="s">
        <v>680</v>
      </c>
      <c r="C366" s="275"/>
      <c r="D366" s="275"/>
      <c r="E366" s="273" t="s">
        <v>179</v>
      </c>
      <c r="F366" s="273"/>
      <c r="G366" s="273" t="s">
        <v>184</v>
      </c>
      <c r="H366" s="273"/>
      <c r="I366" s="273" t="s">
        <v>184</v>
      </c>
      <c r="J366" s="273"/>
      <c r="K366" s="273"/>
      <c r="L366" s="249" t="s">
        <v>179</v>
      </c>
      <c r="M366" s="249"/>
      <c r="N366" s="249"/>
      <c r="O366" s="267" t="s">
        <v>180</v>
      </c>
      <c r="P366" s="267"/>
      <c r="Q366" s="274" t="s">
        <v>1015</v>
      </c>
      <c r="R366" s="274"/>
      <c r="S366" s="274"/>
      <c r="T366" s="274"/>
      <c r="U366" s="274"/>
    </row>
    <row r="367" spans="1:21" s="248" customFormat="1" ht="24.75" customHeight="1" hidden="1" outlineLevel="1">
      <c r="A367" s="243" t="s">
        <v>180</v>
      </c>
      <c r="B367" s="275" t="s">
        <v>680</v>
      </c>
      <c r="C367" s="275"/>
      <c r="D367" s="275"/>
      <c r="E367" s="273" t="s">
        <v>179</v>
      </c>
      <c r="F367" s="273"/>
      <c r="G367" s="273" t="s">
        <v>279</v>
      </c>
      <c r="H367" s="273"/>
      <c r="I367" s="273" t="s">
        <v>279</v>
      </c>
      <c r="J367" s="273"/>
      <c r="K367" s="273"/>
      <c r="L367" s="249" t="s">
        <v>179</v>
      </c>
      <c r="M367" s="249"/>
      <c r="N367" s="249"/>
      <c r="O367" s="267" t="s">
        <v>180</v>
      </c>
      <c r="P367" s="267"/>
      <c r="Q367" s="274" t="s">
        <v>1016</v>
      </c>
      <c r="R367" s="274"/>
      <c r="S367" s="274"/>
      <c r="T367" s="274"/>
      <c r="U367" s="274"/>
    </row>
    <row r="368" spans="1:21" s="248" customFormat="1" ht="24.75" customHeight="1" hidden="1" outlineLevel="1">
      <c r="A368" s="243" t="s">
        <v>180</v>
      </c>
      <c r="B368" s="275" t="s">
        <v>680</v>
      </c>
      <c r="C368" s="275"/>
      <c r="D368" s="275"/>
      <c r="E368" s="273" t="s">
        <v>179</v>
      </c>
      <c r="F368" s="273"/>
      <c r="G368" s="273" t="s">
        <v>705</v>
      </c>
      <c r="H368" s="273"/>
      <c r="I368" s="273" t="s">
        <v>705</v>
      </c>
      <c r="J368" s="273"/>
      <c r="K368" s="273"/>
      <c r="L368" s="249" t="s">
        <v>179</v>
      </c>
      <c r="M368" s="249"/>
      <c r="N368" s="249"/>
      <c r="O368" s="267" t="s">
        <v>180</v>
      </c>
      <c r="P368" s="267"/>
      <c r="Q368" s="274" t="s">
        <v>1017</v>
      </c>
      <c r="R368" s="274"/>
      <c r="S368" s="274"/>
      <c r="T368" s="274"/>
      <c r="U368" s="274"/>
    </row>
    <row r="369" spans="1:21" s="248" customFormat="1" ht="24.75" customHeight="1" hidden="1" outlineLevel="1">
      <c r="A369" s="243" t="s">
        <v>180</v>
      </c>
      <c r="B369" s="275" t="s">
        <v>680</v>
      </c>
      <c r="C369" s="275"/>
      <c r="D369" s="275"/>
      <c r="E369" s="273" t="s">
        <v>179</v>
      </c>
      <c r="F369" s="273"/>
      <c r="G369" s="273" t="s">
        <v>1018</v>
      </c>
      <c r="H369" s="273"/>
      <c r="I369" s="273" t="s">
        <v>1019</v>
      </c>
      <c r="J369" s="273"/>
      <c r="K369" s="273"/>
      <c r="L369" s="249" t="s">
        <v>179</v>
      </c>
      <c r="M369" s="249"/>
      <c r="N369" s="249"/>
      <c r="O369" s="267" t="s">
        <v>180</v>
      </c>
      <c r="P369" s="267"/>
      <c r="Q369" s="274" t="s">
        <v>1020</v>
      </c>
      <c r="R369" s="274"/>
      <c r="S369" s="274"/>
      <c r="T369" s="274"/>
      <c r="U369" s="274"/>
    </row>
    <row r="370" spans="1:21" s="248" customFormat="1" ht="24.75" customHeight="1" hidden="1" outlineLevel="1">
      <c r="A370" s="243" t="s">
        <v>180</v>
      </c>
      <c r="B370" s="275" t="s">
        <v>680</v>
      </c>
      <c r="C370" s="275"/>
      <c r="D370" s="275"/>
      <c r="E370" s="273" t="s">
        <v>179</v>
      </c>
      <c r="F370" s="273"/>
      <c r="G370" s="273" t="s">
        <v>1021</v>
      </c>
      <c r="H370" s="273"/>
      <c r="I370" s="273" t="s">
        <v>1021</v>
      </c>
      <c r="J370" s="273"/>
      <c r="K370" s="273"/>
      <c r="L370" s="249" t="s">
        <v>179</v>
      </c>
      <c r="M370" s="249"/>
      <c r="N370" s="249"/>
      <c r="O370" s="267" t="s">
        <v>180</v>
      </c>
      <c r="P370" s="267"/>
      <c r="Q370" s="274" t="s">
        <v>1022</v>
      </c>
      <c r="R370" s="274"/>
      <c r="S370" s="274"/>
      <c r="T370" s="274"/>
      <c r="U370" s="274"/>
    </row>
    <row r="371" spans="1:21" s="248" customFormat="1" ht="24.75" customHeight="1" hidden="1" outlineLevel="1">
      <c r="A371" s="243" t="s">
        <v>180</v>
      </c>
      <c r="B371" s="275" t="s">
        <v>680</v>
      </c>
      <c r="C371" s="275"/>
      <c r="D371" s="275"/>
      <c r="E371" s="273" t="s">
        <v>179</v>
      </c>
      <c r="F371" s="273"/>
      <c r="G371" s="273" t="s">
        <v>1023</v>
      </c>
      <c r="H371" s="273"/>
      <c r="I371" s="273" t="s">
        <v>1023</v>
      </c>
      <c r="J371" s="273"/>
      <c r="K371" s="273"/>
      <c r="L371" s="249" t="s">
        <v>179</v>
      </c>
      <c r="M371" s="249"/>
      <c r="N371" s="249"/>
      <c r="O371" s="267" t="s">
        <v>180</v>
      </c>
      <c r="P371" s="267"/>
      <c r="Q371" s="274" t="s">
        <v>1024</v>
      </c>
      <c r="R371" s="274"/>
      <c r="S371" s="274"/>
      <c r="T371" s="274"/>
      <c r="U371" s="274"/>
    </row>
    <row r="372" spans="1:21" s="248" customFormat="1" ht="24.75" customHeight="1" hidden="1" outlineLevel="1">
      <c r="A372" s="243" t="s">
        <v>180</v>
      </c>
      <c r="B372" s="275" t="s">
        <v>680</v>
      </c>
      <c r="C372" s="275"/>
      <c r="D372" s="275"/>
      <c r="E372" s="273" t="s">
        <v>179</v>
      </c>
      <c r="F372" s="273"/>
      <c r="G372" s="273" t="s">
        <v>30</v>
      </c>
      <c r="H372" s="273"/>
      <c r="I372" s="273" t="s">
        <v>30</v>
      </c>
      <c r="J372" s="273"/>
      <c r="K372" s="273"/>
      <c r="L372" s="249" t="s">
        <v>179</v>
      </c>
      <c r="M372" s="249"/>
      <c r="N372" s="249"/>
      <c r="O372" s="267" t="s">
        <v>180</v>
      </c>
      <c r="P372" s="267"/>
      <c r="Q372" s="274" t="s">
        <v>1025</v>
      </c>
      <c r="R372" s="274"/>
      <c r="S372" s="274"/>
      <c r="T372" s="274"/>
      <c r="U372" s="274"/>
    </row>
    <row r="373" spans="1:21" s="248" customFormat="1" ht="24.75" customHeight="1" hidden="1" outlineLevel="1">
      <c r="A373" s="243" t="s">
        <v>180</v>
      </c>
      <c r="B373" s="275" t="s">
        <v>680</v>
      </c>
      <c r="C373" s="275"/>
      <c r="D373" s="275"/>
      <c r="E373" s="273" t="s">
        <v>179</v>
      </c>
      <c r="F373" s="273"/>
      <c r="G373" s="273" t="s">
        <v>1026</v>
      </c>
      <c r="H373" s="273"/>
      <c r="I373" s="273" t="s">
        <v>135</v>
      </c>
      <c r="J373" s="273"/>
      <c r="K373" s="273"/>
      <c r="L373" s="249" t="s">
        <v>179</v>
      </c>
      <c r="M373" s="249"/>
      <c r="N373" s="249"/>
      <c r="O373" s="267" t="s">
        <v>180</v>
      </c>
      <c r="P373" s="267"/>
      <c r="Q373" s="274" t="s">
        <v>1027</v>
      </c>
      <c r="R373" s="274"/>
      <c r="S373" s="274"/>
      <c r="T373" s="274"/>
      <c r="U373" s="274"/>
    </row>
    <row r="374" spans="1:21" s="248" customFormat="1" ht="24.75" customHeight="1" hidden="1" outlineLevel="1">
      <c r="A374" s="243" t="s">
        <v>180</v>
      </c>
      <c r="B374" s="275" t="s">
        <v>680</v>
      </c>
      <c r="C374" s="275"/>
      <c r="D374" s="275"/>
      <c r="E374" s="273" t="s">
        <v>179</v>
      </c>
      <c r="F374" s="273"/>
      <c r="G374" s="273" t="s">
        <v>705</v>
      </c>
      <c r="H374" s="273"/>
      <c r="I374" s="273" t="s">
        <v>705</v>
      </c>
      <c r="J374" s="273"/>
      <c r="K374" s="273"/>
      <c r="L374" s="249" t="s">
        <v>179</v>
      </c>
      <c r="M374" s="249"/>
      <c r="N374" s="249"/>
      <c r="O374" s="267" t="s">
        <v>180</v>
      </c>
      <c r="P374" s="267"/>
      <c r="Q374" s="274" t="s">
        <v>1028</v>
      </c>
      <c r="R374" s="274"/>
      <c r="S374" s="274"/>
      <c r="T374" s="274"/>
      <c r="U374" s="274"/>
    </row>
    <row r="375" spans="1:21" s="248" customFormat="1" ht="24.75" customHeight="1" hidden="1" outlineLevel="1">
      <c r="A375" s="243" t="s">
        <v>180</v>
      </c>
      <c r="B375" s="275" t="s">
        <v>680</v>
      </c>
      <c r="C375" s="275"/>
      <c r="D375" s="275"/>
      <c r="E375" s="273" t="s">
        <v>179</v>
      </c>
      <c r="F375" s="273"/>
      <c r="G375" s="273" t="s">
        <v>30</v>
      </c>
      <c r="H375" s="273"/>
      <c r="I375" s="273" t="s">
        <v>30</v>
      </c>
      <c r="J375" s="273"/>
      <c r="K375" s="273"/>
      <c r="L375" s="249" t="s">
        <v>179</v>
      </c>
      <c r="M375" s="249"/>
      <c r="N375" s="249"/>
      <c r="O375" s="267" t="s">
        <v>180</v>
      </c>
      <c r="P375" s="267"/>
      <c r="Q375" s="274" t="s">
        <v>1029</v>
      </c>
      <c r="R375" s="274"/>
      <c r="S375" s="274"/>
      <c r="T375" s="274"/>
      <c r="U375" s="274"/>
    </row>
    <row r="376" spans="1:21" s="248" customFormat="1" ht="24.75" customHeight="1" hidden="1" outlineLevel="1">
      <c r="A376" s="243" t="s">
        <v>180</v>
      </c>
      <c r="B376" s="275" t="s">
        <v>680</v>
      </c>
      <c r="C376" s="275"/>
      <c r="D376" s="275"/>
      <c r="E376" s="273" t="s">
        <v>179</v>
      </c>
      <c r="F376" s="273"/>
      <c r="G376" s="273" t="s">
        <v>1030</v>
      </c>
      <c r="H376" s="273"/>
      <c r="I376" s="273" t="s">
        <v>1030</v>
      </c>
      <c r="J376" s="273"/>
      <c r="K376" s="273"/>
      <c r="L376" s="249" t="s">
        <v>179</v>
      </c>
      <c r="M376" s="249"/>
      <c r="N376" s="249"/>
      <c r="O376" s="267" t="s">
        <v>180</v>
      </c>
      <c r="P376" s="267"/>
      <c r="Q376" s="274" t="s">
        <v>1031</v>
      </c>
      <c r="R376" s="274"/>
      <c r="S376" s="274"/>
      <c r="T376" s="274"/>
      <c r="U376" s="274"/>
    </row>
    <row r="377" spans="1:21" s="248" customFormat="1" ht="24.75" customHeight="1" hidden="1" outlineLevel="1">
      <c r="A377" s="243" t="s">
        <v>180</v>
      </c>
      <c r="B377" s="275" t="s">
        <v>680</v>
      </c>
      <c r="C377" s="275"/>
      <c r="D377" s="275"/>
      <c r="E377" s="273" t="s">
        <v>179</v>
      </c>
      <c r="F377" s="273"/>
      <c r="G377" s="273" t="s">
        <v>187</v>
      </c>
      <c r="H377" s="273"/>
      <c r="I377" s="273" t="s">
        <v>135</v>
      </c>
      <c r="J377" s="273"/>
      <c r="K377" s="273"/>
      <c r="L377" s="249" t="s">
        <v>179</v>
      </c>
      <c r="M377" s="249"/>
      <c r="N377" s="249"/>
      <c r="O377" s="267" t="s">
        <v>180</v>
      </c>
      <c r="P377" s="267"/>
      <c r="Q377" s="274" t="s">
        <v>1032</v>
      </c>
      <c r="R377" s="274"/>
      <c r="S377" s="274"/>
      <c r="T377" s="274"/>
      <c r="U377" s="274"/>
    </row>
    <row r="378" spans="1:21" s="248" customFormat="1" ht="24.75" customHeight="1" hidden="1" outlineLevel="1">
      <c r="A378" s="243" t="s">
        <v>180</v>
      </c>
      <c r="B378" s="275" t="s">
        <v>680</v>
      </c>
      <c r="C378" s="275"/>
      <c r="D378" s="275"/>
      <c r="E378" s="273" t="s">
        <v>179</v>
      </c>
      <c r="F378" s="273"/>
      <c r="G378" s="273" t="s">
        <v>1033</v>
      </c>
      <c r="H378" s="273"/>
      <c r="I378" s="273" t="s">
        <v>1033</v>
      </c>
      <c r="J378" s="273"/>
      <c r="K378" s="273"/>
      <c r="L378" s="249" t="s">
        <v>179</v>
      </c>
      <c r="M378" s="249"/>
      <c r="N378" s="249"/>
      <c r="O378" s="267" t="s">
        <v>180</v>
      </c>
      <c r="P378" s="267"/>
      <c r="Q378" s="274" t="s">
        <v>1034</v>
      </c>
      <c r="R378" s="274"/>
      <c r="S378" s="274"/>
      <c r="T378" s="274"/>
      <c r="U378" s="274"/>
    </row>
    <row r="379" spans="1:21" s="248" customFormat="1" ht="24.75" customHeight="1" hidden="1" outlineLevel="1">
      <c r="A379" s="243" t="s">
        <v>180</v>
      </c>
      <c r="B379" s="275" t="s">
        <v>680</v>
      </c>
      <c r="C379" s="275"/>
      <c r="D379" s="275"/>
      <c r="E379" s="273" t="s">
        <v>179</v>
      </c>
      <c r="F379" s="273"/>
      <c r="G379" s="273" t="s">
        <v>197</v>
      </c>
      <c r="H379" s="273"/>
      <c r="I379" s="273" t="s">
        <v>197</v>
      </c>
      <c r="J379" s="273"/>
      <c r="K379" s="273"/>
      <c r="L379" s="249" t="s">
        <v>179</v>
      </c>
      <c r="M379" s="249"/>
      <c r="N379" s="249"/>
      <c r="O379" s="267" t="s">
        <v>180</v>
      </c>
      <c r="P379" s="267"/>
      <c r="Q379" s="274" t="s">
        <v>1035</v>
      </c>
      <c r="R379" s="274"/>
      <c r="S379" s="274"/>
      <c r="T379" s="274"/>
      <c r="U379" s="274"/>
    </row>
    <row r="380" spans="1:21" s="248" customFormat="1" ht="24.75" customHeight="1" hidden="1" outlineLevel="1">
      <c r="A380" s="243" t="s">
        <v>180</v>
      </c>
      <c r="B380" s="275" t="s">
        <v>680</v>
      </c>
      <c r="C380" s="275"/>
      <c r="D380" s="275"/>
      <c r="E380" s="273" t="s">
        <v>179</v>
      </c>
      <c r="F380" s="273"/>
      <c r="G380" s="273" t="s">
        <v>1036</v>
      </c>
      <c r="H380" s="273"/>
      <c r="I380" s="273" t="s">
        <v>1036</v>
      </c>
      <c r="J380" s="273"/>
      <c r="K380" s="273"/>
      <c r="L380" s="249" t="s">
        <v>179</v>
      </c>
      <c r="M380" s="249"/>
      <c r="N380" s="249"/>
      <c r="O380" s="267" t="s">
        <v>180</v>
      </c>
      <c r="P380" s="267"/>
      <c r="Q380" s="274" t="s">
        <v>1037</v>
      </c>
      <c r="R380" s="274"/>
      <c r="S380" s="274"/>
      <c r="T380" s="274"/>
      <c r="U380" s="274"/>
    </row>
    <row r="381" spans="1:21" s="248" customFormat="1" ht="24.75" customHeight="1" hidden="1" outlineLevel="1">
      <c r="A381" s="243" t="s">
        <v>180</v>
      </c>
      <c r="B381" s="275" t="s">
        <v>680</v>
      </c>
      <c r="C381" s="275"/>
      <c r="D381" s="275"/>
      <c r="E381" s="273" t="s">
        <v>179</v>
      </c>
      <c r="F381" s="273"/>
      <c r="G381" s="273" t="s">
        <v>200</v>
      </c>
      <c r="H381" s="273"/>
      <c r="I381" s="273" t="s">
        <v>200</v>
      </c>
      <c r="J381" s="273"/>
      <c r="K381" s="273"/>
      <c r="L381" s="249" t="s">
        <v>179</v>
      </c>
      <c r="M381" s="249"/>
      <c r="N381" s="249"/>
      <c r="O381" s="267" t="s">
        <v>180</v>
      </c>
      <c r="P381" s="267"/>
      <c r="Q381" s="274" t="s">
        <v>1038</v>
      </c>
      <c r="R381" s="274"/>
      <c r="S381" s="274"/>
      <c r="T381" s="274"/>
      <c r="U381" s="274"/>
    </row>
    <row r="382" spans="1:21" s="248" customFormat="1" ht="24.75" customHeight="1" hidden="1" outlineLevel="1">
      <c r="A382" s="243" t="s">
        <v>180</v>
      </c>
      <c r="B382" s="275" t="s">
        <v>680</v>
      </c>
      <c r="C382" s="275"/>
      <c r="D382" s="275"/>
      <c r="E382" s="273" t="s">
        <v>179</v>
      </c>
      <c r="F382" s="273"/>
      <c r="G382" s="273" t="s">
        <v>1039</v>
      </c>
      <c r="H382" s="273"/>
      <c r="I382" s="273" t="s">
        <v>1040</v>
      </c>
      <c r="J382" s="273"/>
      <c r="K382" s="273"/>
      <c r="L382" s="249" t="s">
        <v>179</v>
      </c>
      <c r="M382" s="249"/>
      <c r="N382" s="249"/>
      <c r="O382" s="267" t="s">
        <v>180</v>
      </c>
      <c r="P382" s="267"/>
      <c r="Q382" s="274" t="s">
        <v>1041</v>
      </c>
      <c r="R382" s="274"/>
      <c r="S382" s="274"/>
      <c r="T382" s="274"/>
      <c r="U382" s="274"/>
    </row>
    <row r="383" spans="1:21" s="248" customFormat="1" ht="24.75" customHeight="1" hidden="1" outlineLevel="1">
      <c r="A383" s="243" t="s">
        <v>180</v>
      </c>
      <c r="B383" s="275" t="s">
        <v>680</v>
      </c>
      <c r="C383" s="275"/>
      <c r="D383" s="275"/>
      <c r="E383" s="273" t="s">
        <v>179</v>
      </c>
      <c r="F383" s="273"/>
      <c r="G383" s="273" t="s">
        <v>1042</v>
      </c>
      <c r="H383" s="273"/>
      <c r="I383" s="273" t="s">
        <v>17</v>
      </c>
      <c r="J383" s="273"/>
      <c r="K383" s="273"/>
      <c r="L383" s="249" t="s">
        <v>179</v>
      </c>
      <c r="M383" s="249"/>
      <c r="N383" s="249"/>
      <c r="O383" s="267" t="s">
        <v>180</v>
      </c>
      <c r="P383" s="267"/>
      <c r="Q383" s="274" t="s">
        <v>1043</v>
      </c>
      <c r="R383" s="274"/>
      <c r="S383" s="274"/>
      <c r="T383" s="274"/>
      <c r="U383" s="274"/>
    </row>
    <row r="384" spans="1:21" s="248" customFormat="1" ht="24.75" customHeight="1" hidden="1" outlineLevel="1">
      <c r="A384" s="243" t="s">
        <v>180</v>
      </c>
      <c r="B384" s="275" t="s">
        <v>680</v>
      </c>
      <c r="C384" s="275"/>
      <c r="D384" s="275"/>
      <c r="E384" s="273" t="s">
        <v>179</v>
      </c>
      <c r="F384" s="273"/>
      <c r="G384" s="273" t="s">
        <v>1044</v>
      </c>
      <c r="H384" s="273"/>
      <c r="I384" s="273" t="s">
        <v>1044</v>
      </c>
      <c r="J384" s="273"/>
      <c r="K384" s="273"/>
      <c r="L384" s="249" t="s">
        <v>179</v>
      </c>
      <c r="M384" s="249"/>
      <c r="N384" s="249"/>
      <c r="O384" s="267" t="s">
        <v>180</v>
      </c>
      <c r="P384" s="267"/>
      <c r="Q384" s="274" t="s">
        <v>1045</v>
      </c>
      <c r="R384" s="274"/>
      <c r="S384" s="274"/>
      <c r="T384" s="274"/>
      <c r="U384" s="274"/>
    </row>
    <row r="385" spans="1:21" s="248" customFormat="1" ht="24.75" customHeight="1" hidden="1" outlineLevel="1">
      <c r="A385" s="243" t="s">
        <v>180</v>
      </c>
      <c r="B385" s="275" t="s">
        <v>669</v>
      </c>
      <c r="C385" s="275"/>
      <c r="D385" s="275"/>
      <c r="E385" s="273" t="s">
        <v>179</v>
      </c>
      <c r="F385" s="273"/>
      <c r="G385" s="273" t="s">
        <v>709</v>
      </c>
      <c r="H385" s="273"/>
      <c r="I385" s="273" t="s">
        <v>709</v>
      </c>
      <c r="J385" s="273"/>
      <c r="K385" s="273"/>
      <c r="L385" s="249" t="s">
        <v>179</v>
      </c>
      <c r="M385" s="249"/>
      <c r="N385" s="249"/>
      <c r="O385" s="267" t="s">
        <v>180</v>
      </c>
      <c r="P385" s="267"/>
      <c r="Q385" s="274" t="s">
        <v>1046</v>
      </c>
      <c r="R385" s="274"/>
      <c r="S385" s="274"/>
      <c r="T385" s="274"/>
      <c r="U385" s="274"/>
    </row>
    <row r="386" spans="1:21" s="248" customFormat="1" ht="24.75" customHeight="1" hidden="1" outlineLevel="1">
      <c r="A386" s="243" t="s">
        <v>180</v>
      </c>
      <c r="B386" s="275" t="s">
        <v>669</v>
      </c>
      <c r="C386" s="275"/>
      <c r="D386" s="275"/>
      <c r="E386" s="273" t="s">
        <v>179</v>
      </c>
      <c r="F386" s="273"/>
      <c r="G386" s="273" t="s">
        <v>352</v>
      </c>
      <c r="H386" s="273"/>
      <c r="I386" s="273" t="s">
        <v>352</v>
      </c>
      <c r="J386" s="273"/>
      <c r="K386" s="273"/>
      <c r="L386" s="249" t="s">
        <v>179</v>
      </c>
      <c r="M386" s="249"/>
      <c r="N386" s="249"/>
      <c r="O386" s="267" t="s">
        <v>180</v>
      </c>
      <c r="P386" s="267"/>
      <c r="Q386" s="274" t="s">
        <v>1047</v>
      </c>
      <c r="R386" s="274"/>
      <c r="S386" s="274"/>
      <c r="T386" s="274"/>
      <c r="U386" s="274"/>
    </row>
    <row r="387" spans="1:21" s="248" customFormat="1" ht="24.75" customHeight="1" hidden="1" outlineLevel="1">
      <c r="A387" s="243" t="s">
        <v>180</v>
      </c>
      <c r="B387" s="275" t="s">
        <v>669</v>
      </c>
      <c r="C387" s="275"/>
      <c r="D387" s="275"/>
      <c r="E387" s="273" t="s">
        <v>179</v>
      </c>
      <c r="F387" s="273"/>
      <c r="G387" s="273">
        <v>2454</v>
      </c>
      <c r="H387" s="273"/>
      <c r="I387" s="273">
        <v>2454</v>
      </c>
      <c r="J387" s="273"/>
      <c r="K387" s="273"/>
      <c r="L387" s="249" t="s">
        <v>179</v>
      </c>
      <c r="M387" s="249"/>
      <c r="N387" s="249"/>
      <c r="O387" s="267" t="s">
        <v>180</v>
      </c>
      <c r="P387" s="267"/>
      <c r="Q387" s="274" t="s">
        <v>1048</v>
      </c>
      <c r="R387" s="274"/>
      <c r="S387" s="274"/>
      <c r="T387" s="274"/>
      <c r="U387" s="274"/>
    </row>
    <row r="388" spans="1:21" s="248" customFormat="1" ht="24.75" customHeight="1" hidden="1" outlineLevel="1">
      <c r="A388" s="243" t="s">
        <v>180</v>
      </c>
      <c r="B388" s="275" t="s">
        <v>34</v>
      </c>
      <c r="C388" s="275"/>
      <c r="D388" s="275"/>
      <c r="E388" s="273" t="s">
        <v>179</v>
      </c>
      <c r="F388" s="273"/>
      <c r="G388" s="273" t="s">
        <v>279</v>
      </c>
      <c r="H388" s="273"/>
      <c r="I388" s="273" t="s">
        <v>279</v>
      </c>
      <c r="J388" s="273"/>
      <c r="K388" s="273"/>
      <c r="L388" s="249" t="s">
        <v>179</v>
      </c>
      <c r="M388" s="249"/>
      <c r="N388" s="249"/>
      <c r="O388" s="267" t="s">
        <v>180</v>
      </c>
      <c r="P388" s="267"/>
      <c r="Q388" s="274" t="s">
        <v>1049</v>
      </c>
      <c r="R388" s="274"/>
      <c r="S388" s="274"/>
      <c r="T388" s="274"/>
      <c r="U388" s="274"/>
    </row>
    <row r="389" spans="1:21" s="248" customFormat="1" ht="19.5" customHeight="1" collapsed="1">
      <c r="A389" s="315" t="s">
        <v>489</v>
      </c>
      <c r="B389" s="315"/>
      <c r="C389" s="315"/>
      <c r="D389" s="315"/>
      <c r="E389" s="315"/>
      <c r="F389" s="315"/>
      <c r="G389" s="315"/>
      <c r="H389" s="315"/>
      <c r="I389" s="315"/>
      <c r="J389" s="315"/>
      <c r="K389" s="315"/>
      <c r="L389" s="315"/>
      <c r="M389" s="315"/>
      <c r="N389" s="315"/>
      <c r="O389" s="315"/>
      <c r="P389" s="315"/>
      <c r="Q389" s="315"/>
      <c r="R389" s="315"/>
      <c r="S389" s="315"/>
      <c r="T389" s="315"/>
      <c r="U389" s="315"/>
    </row>
    <row r="390" spans="1:21" s="248" customFormat="1" ht="24.75" customHeight="1">
      <c r="A390" s="243" t="s">
        <v>180</v>
      </c>
      <c r="B390" s="275" t="s">
        <v>669</v>
      </c>
      <c r="C390" s="275"/>
      <c r="D390" s="275"/>
      <c r="E390" s="273" t="s">
        <v>450</v>
      </c>
      <c r="F390" s="273"/>
      <c r="G390" s="273" t="s">
        <v>1050</v>
      </c>
      <c r="H390" s="273"/>
      <c r="I390" s="273" t="s">
        <v>1050</v>
      </c>
      <c r="J390" s="273"/>
      <c r="K390" s="273"/>
      <c r="L390" s="249" t="s">
        <v>179</v>
      </c>
      <c r="M390" s="249"/>
      <c r="N390" s="249"/>
      <c r="O390" s="278">
        <v>500</v>
      </c>
      <c r="P390" s="279"/>
      <c r="Q390" s="274" t="s">
        <v>1051</v>
      </c>
      <c r="R390" s="274"/>
      <c r="S390" s="274"/>
      <c r="T390" s="274"/>
      <c r="U390" s="274"/>
    </row>
    <row r="391" spans="1:21" s="248" customFormat="1" ht="24.75" customHeight="1">
      <c r="A391" s="316" t="s">
        <v>1052</v>
      </c>
      <c r="B391" s="316"/>
      <c r="C391" s="316"/>
      <c r="D391" s="316"/>
      <c r="E391" s="325">
        <v>12738</v>
      </c>
      <c r="F391" s="325"/>
      <c r="G391" s="325">
        <v>38064</v>
      </c>
      <c r="H391" s="325"/>
      <c r="I391" s="325">
        <v>34213</v>
      </c>
      <c r="J391" s="325"/>
      <c r="K391" s="325"/>
      <c r="L391" s="251">
        <v>23100</v>
      </c>
      <c r="M391" s="251">
        <f>E391+20000</f>
        <v>32738</v>
      </c>
      <c r="N391" s="255">
        <v>37300</v>
      </c>
      <c r="O391" s="329">
        <v>16540</v>
      </c>
      <c r="P391" s="330"/>
      <c r="Q391" s="274"/>
      <c r="R391" s="274"/>
      <c r="S391" s="274"/>
      <c r="T391" s="274"/>
      <c r="U391" s="274"/>
    </row>
    <row r="392" spans="1:22" s="248" customFormat="1" ht="19.5" customHeight="1">
      <c r="A392" s="317" t="s">
        <v>252</v>
      </c>
      <c r="B392" s="317"/>
      <c r="C392" s="317"/>
      <c r="D392" s="317"/>
      <c r="E392" s="319">
        <v>13938</v>
      </c>
      <c r="F392" s="319"/>
      <c r="G392" s="311">
        <v>17499</v>
      </c>
      <c r="H392" s="311"/>
      <c r="I392" s="311">
        <v>12984</v>
      </c>
      <c r="J392" s="311"/>
      <c r="K392" s="311"/>
      <c r="L392" s="244">
        <v>17050</v>
      </c>
      <c r="M392" s="244">
        <f>E392+4800+1600</f>
        <v>20338</v>
      </c>
      <c r="N392" s="258" t="e">
        <f>N390+#REF!+N354</f>
        <v>#REF!</v>
      </c>
      <c r="O392" s="335">
        <f>O391+O354</f>
        <v>19020</v>
      </c>
      <c r="P392" s="338"/>
      <c r="Q392" s="277" t="s">
        <v>180</v>
      </c>
      <c r="R392" s="277"/>
      <c r="S392" s="277"/>
      <c r="T392" s="277"/>
      <c r="U392" s="277"/>
      <c r="V392" s="252"/>
    </row>
    <row r="393" spans="1:21" s="248" customFormat="1" ht="19.5" customHeight="1">
      <c r="A393" s="314" t="s">
        <v>253</v>
      </c>
      <c r="B393" s="314"/>
      <c r="C393" s="314"/>
      <c r="D393" s="314"/>
      <c r="E393" s="314"/>
      <c r="F393" s="314"/>
      <c r="G393" s="314"/>
      <c r="H393" s="314"/>
      <c r="I393" s="314"/>
      <c r="J393" s="314"/>
      <c r="K393" s="314"/>
      <c r="L393" s="314"/>
      <c r="M393" s="314"/>
      <c r="N393" s="314"/>
      <c r="O393" s="314"/>
      <c r="P393" s="314"/>
      <c r="Q393" s="314"/>
      <c r="R393" s="314"/>
      <c r="S393" s="314"/>
      <c r="T393" s="314"/>
      <c r="U393" s="314"/>
    </row>
    <row r="394" spans="1:21" s="248" customFormat="1" ht="19.5" customHeight="1" hidden="1">
      <c r="A394" s="315" t="s">
        <v>254</v>
      </c>
      <c r="B394" s="315"/>
      <c r="C394" s="315"/>
      <c r="D394" s="315"/>
      <c r="E394" s="315"/>
      <c r="F394" s="315"/>
      <c r="G394" s="315"/>
      <c r="H394" s="315"/>
      <c r="I394" s="315"/>
      <c r="J394" s="315"/>
      <c r="K394" s="315"/>
      <c r="L394" s="315"/>
      <c r="M394" s="315"/>
      <c r="N394" s="315"/>
      <c r="O394" s="315"/>
      <c r="P394" s="315"/>
      <c r="Q394" s="315"/>
      <c r="R394" s="315"/>
      <c r="S394" s="315"/>
      <c r="T394" s="315"/>
      <c r="U394" s="315"/>
    </row>
    <row r="395" spans="1:21" s="248" customFormat="1" ht="26.25" customHeight="1" hidden="1">
      <c r="A395" s="243" t="s">
        <v>180</v>
      </c>
      <c r="B395" s="275" t="s">
        <v>667</v>
      </c>
      <c r="C395" s="275"/>
      <c r="D395" s="275"/>
      <c r="E395" s="273" t="s">
        <v>179</v>
      </c>
      <c r="F395" s="273"/>
      <c r="G395" s="273">
        <v>17058</v>
      </c>
      <c r="H395" s="273"/>
      <c r="I395" s="273">
        <v>13008</v>
      </c>
      <c r="J395" s="273"/>
      <c r="K395" s="273"/>
      <c r="L395" s="249" t="s">
        <v>179</v>
      </c>
      <c r="M395" s="249"/>
      <c r="N395" s="249"/>
      <c r="O395" s="275">
        <f>L395+N395</f>
        <v>0</v>
      </c>
      <c r="P395" s="275"/>
      <c r="Q395" s="274" t="s">
        <v>1053</v>
      </c>
      <c r="R395" s="274"/>
      <c r="S395" s="274"/>
      <c r="T395" s="274"/>
      <c r="U395" s="274"/>
    </row>
    <row r="396" spans="1:21" s="248" customFormat="1" ht="19.5" customHeight="1">
      <c r="A396" s="315" t="s">
        <v>1054</v>
      </c>
      <c r="B396" s="315"/>
      <c r="C396" s="315"/>
      <c r="D396" s="315"/>
      <c r="E396" s="315"/>
      <c r="F396" s="315"/>
      <c r="G396" s="315"/>
      <c r="H396" s="315"/>
      <c r="I396" s="315"/>
      <c r="J396" s="315"/>
      <c r="K396" s="315"/>
      <c r="L396" s="315"/>
      <c r="M396" s="315"/>
      <c r="N396" s="315"/>
      <c r="O396" s="315"/>
      <c r="P396" s="315"/>
      <c r="Q396" s="315"/>
      <c r="R396" s="315"/>
      <c r="S396" s="315"/>
      <c r="T396" s="315"/>
      <c r="U396" s="315"/>
    </row>
    <row r="397" spans="1:21" s="248" customFormat="1" ht="23.25" customHeight="1">
      <c r="A397" s="243" t="s">
        <v>180</v>
      </c>
      <c r="B397" s="275" t="s">
        <v>34</v>
      </c>
      <c r="C397" s="275"/>
      <c r="D397" s="275"/>
      <c r="E397" s="273">
        <v>2000</v>
      </c>
      <c r="F397" s="273"/>
      <c r="G397" s="273">
        <v>2000</v>
      </c>
      <c r="H397" s="273"/>
      <c r="I397" s="273">
        <v>2000</v>
      </c>
      <c r="J397" s="273"/>
      <c r="K397" s="273"/>
      <c r="L397" s="249">
        <v>2000</v>
      </c>
      <c r="M397" s="249"/>
      <c r="N397" s="249"/>
      <c r="O397" s="320">
        <v>2000</v>
      </c>
      <c r="P397" s="321"/>
      <c r="Q397" s="274" t="s">
        <v>1055</v>
      </c>
      <c r="R397" s="274"/>
      <c r="S397" s="274"/>
      <c r="T397" s="274"/>
      <c r="U397" s="274"/>
    </row>
    <row r="398" spans="1:21" s="248" customFormat="1" ht="23.25" customHeight="1">
      <c r="A398" s="243" t="s">
        <v>180</v>
      </c>
      <c r="B398" s="275" t="s">
        <v>1056</v>
      </c>
      <c r="C398" s="275"/>
      <c r="D398" s="275"/>
      <c r="E398" s="273">
        <v>0</v>
      </c>
      <c r="F398" s="273"/>
      <c r="G398" s="273">
        <v>2000</v>
      </c>
      <c r="H398" s="273"/>
      <c r="I398" s="273">
        <v>2000</v>
      </c>
      <c r="J398" s="273"/>
      <c r="K398" s="273"/>
      <c r="L398" s="249">
        <v>2000</v>
      </c>
      <c r="M398" s="249"/>
      <c r="N398" s="249"/>
      <c r="O398" s="320">
        <v>1000</v>
      </c>
      <c r="P398" s="321"/>
      <c r="Q398" s="274" t="s">
        <v>1057</v>
      </c>
      <c r="R398" s="274"/>
      <c r="S398" s="274"/>
      <c r="T398" s="274"/>
      <c r="U398" s="274"/>
    </row>
    <row r="399" spans="1:21" s="248" customFormat="1" ht="19.5" customHeight="1">
      <c r="A399" s="315" t="s">
        <v>1058</v>
      </c>
      <c r="B399" s="315"/>
      <c r="C399" s="315"/>
      <c r="D399" s="315"/>
      <c r="E399" s="315"/>
      <c r="F399" s="315"/>
      <c r="G399" s="315"/>
      <c r="H399" s="315"/>
      <c r="I399" s="315"/>
      <c r="J399" s="315"/>
      <c r="K399" s="315"/>
      <c r="L399" s="315"/>
      <c r="M399" s="315"/>
      <c r="N399" s="315"/>
      <c r="O399" s="315"/>
      <c r="P399" s="315"/>
      <c r="Q399" s="315"/>
      <c r="R399" s="315"/>
      <c r="S399" s="315"/>
      <c r="T399" s="315"/>
      <c r="U399" s="315"/>
    </row>
    <row r="400" spans="1:21" s="248" customFormat="1" ht="24.75" customHeight="1">
      <c r="A400" s="243" t="s">
        <v>180</v>
      </c>
      <c r="B400" s="275" t="s">
        <v>680</v>
      </c>
      <c r="C400" s="275"/>
      <c r="D400" s="275"/>
      <c r="E400" s="273" t="s">
        <v>184</v>
      </c>
      <c r="F400" s="273"/>
      <c r="G400" s="273" t="s">
        <v>1059</v>
      </c>
      <c r="H400" s="273"/>
      <c r="I400" s="273" t="s">
        <v>1059</v>
      </c>
      <c r="J400" s="273"/>
      <c r="K400" s="273"/>
      <c r="L400" s="249" t="s">
        <v>184</v>
      </c>
      <c r="M400" s="249"/>
      <c r="N400" s="249"/>
      <c r="O400" s="267">
        <v>290</v>
      </c>
      <c r="P400" s="267"/>
      <c r="Q400" s="274" t="s">
        <v>1060</v>
      </c>
      <c r="R400" s="274"/>
      <c r="S400" s="274"/>
      <c r="T400" s="274"/>
      <c r="U400" s="274"/>
    </row>
    <row r="401" spans="1:21" s="248" customFormat="1" ht="24.75" customHeight="1">
      <c r="A401" s="243" t="s">
        <v>180</v>
      </c>
      <c r="B401" s="275" t="s">
        <v>36</v>
      </c>
      <c r="C401" s="275"/>
      <c r="D401" s="275"/>
      <c r="E401" s="273" t="s">
        <v>184</v>
      </c>
      <c r="F401" s="273"/>
      <c r="G401" s="273" t="s">
        <v>798</v>
      </c>
      <c r="H401" s="273"/>
      <c r="I401" s="273" t="s">
        <v>798</v>
      </c>
      <c r="J401" s="273"/>
      <c r="K401" s="273"/>
      <c r="L401" s="249" t="s">
        <v>184</v>
      </c>
      <c r="M401" s="249"/>
      <c r="N401" s="249"/>
      <c r="O401" s="267">
        <v>290</v>
      </c>
      <c r="P401" s="267"/>
      <c r="Q401" s="274" t="s">
        <v>1060</v>
      </c>
      <c r="R401" s="274"/>
      <c r="S401" s="274"/>
      <c r="T401" s="274"/>
      <c r="U401" s="274"/>
    </row>
    <row r="402" spans="1:21" s="248" customFormat="1" ht="19.5" customHeight="1">
      <c r="A402" s="316" t="s">
        <v>1061</v>
      </c>
      <c r="B402" s="316"/>
      <c r="C402" s="316"/>
      <c r="D402" s="316"/>
      <c r="E402" s="273" t="s">
        <v>135</v>
      </c>
      <c r="F402" s="273"/>
      <c r="G402" s="273" t="s">
        <v>135</v>
      </c>
      <c r="H402" s="273"/>
      <c r="I402" s="273" t="s">
        <v>135</v>
      </c>
      <c r="J402" s="273"/>
      <c r="K402" s="273"/>
      <c r="L402" s="249" t="s">
        <v>135</v>
      </c>
      <c r="M402" s="249">
        <f>E402+1600</f>
        <v>1900</v>
      </c>
      <c r="N402" s="249" t="e">
        <f>#REF!+N400+N401+#REF!</f>
        <v>#REF!</v>
      </c>
      <c r="O402" s="267">
        <f>O400+O401</f>
        <v>580</v>
      </c>
      <c r="P402" s="267"/>
      <c r="Q402" s="274"/>
      <c r="R402" s="274"/>
      <c r="S402" s="274"/>
      <c r="T402" s="274"/>
      <c r="U402" s="274"/>
    </row>
    <row r="403" spans="1:22" s="248" customFormat="1" ht="19.5" customHeight="1">
      <c r="A403" s="317" t="s">
        <v>257</v>
      </c>
      <c r="B403" s="317"/>
      <c r="C403" s="317"/>
      <c r="D403" s="317"/>
      <c r="E403" s="319">
        <v>2300</v>
      </c>
      <c r="F403" s="319"/>
      <c r="G403" s="311">
        <v>19358</v>
      </c>
      <c r="H403" s="311"/>
      <c r="I403" s="311">
        <v>15308</v>
      </c>
      <c r="J403" s="311"/>
      <c r="K403" s="311"/>
      <c r="L403" s="244">
        <v>2300</v>
      </c>
      <c r="M403" s="244">
        <f>E403+1600</f>
        <v>3900</v>
      </c>
      <c r="N403" s="258">
        <v>3900</v>
      </c>
      <c r="O403" s="319">
        <f>O402+O398+O397</f>
        <v>3580</v>
      </c>
      <c r="P403" s="319"/>
      <c r="Q403" s="277" t="s">
        <v>180</v>
      </c>
      <c r="R403" s="277"/>
      <c r="S403" s="277"/>
      <c r="T403" s="277"/>
      <c r="U403" s="277"/>
      <c r="V403" s="252"/>
    </row>
    <row r="404" spans="1:21" s="248" customFormat="1" ht="19.5" customHeight="1">
      <c r="A404" s="314" t="s">
        <v>492</v>
      </c>
      <c r="B404" s="314"/>
      <c r="C404" s="314"/>
      <c r="D404" s="314"/>
      <c r="E404" s="314"/>
      <c r="F404" s="314"/>
      <c r="G404" s="314"/>
      <c r="H404" s="314"/>
      <c r="I404" s="314"/>
      <c r="J404" s="314"/>
      <c r="K404" s="314"/>
      <c r="L404" s="314"/>
      <c r="M404" s="314"/>
      <c r="N404" s="314"/>
      <c r="O404" s="314"/>
      <c r="P404" s="314"/>
      <c r="Q404" s="314"/>
      <c r="R404" s="314"/>
      <c r="S404" s="314"/>
      <c r="T404" s="314"/>
      <c r="U404" s="314"/>
    </row>
    <row r="405" spans="1:21" s="248" customFormat="1" ht="19.5" customHeight="1">
      <c r="A405" s="315" t="s">
        <v>72</v>
      </c>
      <c r="B405" s="315"/>
      <c r="C405" s="315"/>
      <c r="D405" s="315"/>
      <c r="E405" s="315"/>
      <c r="F405" s="315"/>
      <c r="G405" s="315"/>
      <c r="H405" s="315"/>
      <c r="I405" s="315"/>
      <c r="J405" s="315"/>
      <c r="K405" s="315"/>
      <c r="L405" s="315"/>
      <c r="M405" s="315"/>
      <c r="N405" s="315"/>
      <c r="O405" s="315"/>
      <c r="P405" s="315"/>
      <c r="Q405" s="315"/>
      <c r="R405" s="315"/>
      <c r="S405" s="315"/>
      <c r="T405" s="315"/>
      <c r="U405" s="315"/>
    </row>
    <row r="406" spans="1:21" s="248" customFormat="1" ht="27" customHeight="1">
      <c r="A406" s="243" t="s">
        <v>180</v>
      </c>
      <c r="B406" s="275" t="s">
        <v>667</v>
      </c>
      <c r="C406" s="275"/>
      <c r="D406" s="275"/>
      <c r="E406" s="273" t="s">
        <v>179</v>
      </c>
      <c r="F406" s="273"/>
      <c r="G406" s="273" t="s">
        <v>135</v>
      </c>
      <c r="H406" s="273"/>
      <c r="I406" s="273" t="s">
        <v>302</v>
      </c>
      <c r="J406" s="273"/>
      <c r="K406" s="273"/>
      <c r="L406" s="249" t="s">
        <v>303</v>
      </c>
      <c r="M406" s="249" t="str">
        <f>L406</f>
        <v>335</v>
      </c>
      <c r="N406" s="257">
        <v>335</v>
      </c>
      <c r="O406" s="267">
        <v>335</v>
      </c>
      <c r="P406" s="267"/>
      <c r="Q406" s="274" t="s">
        <v>781</v>
      </c>
      <c r="R406" s="274"/>
      <c r="S406" s="274"/>
      <c r="T406" s="274"/>
      <c r="U406" s="274"/>
    </row>
    <row r="407" spans="1:21" s="248" customFormat="1" ht="19.5" customHeight="1">
      <c r="A407" s="317" t="s">
        <v>497</v>
      </c>
      <c r="B407" s="317"/>
      <c r="C407" s="317"/>
      <c r="D407" s="317"/>
      <c r="E407" s="319" t="s">
        <v>179</v>
      </c>
      <c r="F407" s="319"/>
      <c r="G407" s="311" t="s">
        <v>135</v>
      </c>
      <c r="H407" s="311"/>
      <c r="I407" s="311" t="s">
        <v>302</v>
      </c>
      <c r="J407" s="311"/>
      <c r="K407" s="311"/>
      <c r="L407" s="244" t="s">
        <v>303</v>
      </c>
      <c r="M407" s="244" t="str">
        <f>L407</f>
        <v>335</v>
      </c>
      <c r="N407" s="244">
        <f>N406</f>
        <v>335</v>
      </c>
      <c r="O407" s="318">
        <f>O406</f>
        <v>335</v>
      </c>
      <c r="P407" s="318"/>
      <c r="Q407" s="277" t="s">
        <v>180</v>
      </c>
      <c r="R407" s="277"/>
      <c r="S407" s="277"/>
      <c r="T407" s="277"/>
      <c r="U407" s="277"/>
    </row>
    <row r="408" spans="1:21" s="248" customFormat="1" ht="30.75" customHeight="1">
      <c r="A408" s="317" t="s">
        <v>304</v>
      </c>
      <c r="B408" s="317"/>
      <c r="C408" s="317"/>
      <c r="D408" s="317"/>
      <c r="E408" s="339">
        <v>47083</v>
      </c>
      <c r="F408" s="339"/>
      <c r="G408" s="339">
        <v>93219</v>
      </c>
      <c r="H408" s="339"/>
      <c r="I408" s="339">
        <v>78374</v>
      </c>
      <c r="J408" s="339"/>
      <c r="K408" s="339"/>
      <c r="L408" s="259">
        <v>67037</v>
      </c>
      <c r="M408" s="259">
        <f>M407+M403+M392+M319+M226+M14</f>
        <v>83818</v>
      </c>
      <c r="N408" s="259" t="e">
        <f>N406+N403+N392+N14+N319+N226</f>
        <v>#REF!</v>
      </c>
      <c r="O408" s="319">
        <f>O407+O403+O392+O319+O226+O14</f>
        <v>76480</v>
      </c>
      <c r="P408" s="318"/>
      <c r="Q408" s="277"/>
      <c r="R408" s="277"/>
      <c r="S408" s="277"/>
      <c r="T408" s="277"/>
      <c r="U408" s="277"/>
    </row>
  </sheetData>
  <sheetProtection/>
  <mergeCells count="2078">
    <mergeCell ref="O390:P390"/>
    <mergeCell ref="B390:D390"/>
    <mergeCell ref="E390:F390"/>
    <mergeCell ref="O391:P391"/>
    <mergeCell ref="Q391:U391"/>
    <mergeCell ref="A391:D391"/>
    <mergeCell ref="E391:F391"/>
    <mergeCell ref="G391:H391"/>
    <mergeCell ref="I391:K391"/>
    <mergeCell ref="I38:K38"/>
    <mergeCell ref="O38:P38"/>
    <mergeCell ref="Q38:U38"/>
    <mergeCell ref="E41:F41"/>
    <mergeCell ref="G41:H41"/>
    <mergeCell ref="I41:K41"/>
    <mergeCell ref="G38:H38"/>
    <mergeCell ref="G39:H39"/>
    <mergeCell ref="I39:K39"/>
    <mergeCell ref="I40:K40"/>
    <mergeCell ref="Q42:U42"/>
    <mergeCell ref="O42:P42"/>
    <mergeCell ref="O37:P37"/>
    <mergeCell ref="Q37:U37"/>
    <mergeCell ref="O39:P39"/>
    <mergeCell ref="Q39:U39"/>
    <mergeCell ref="O40:P40"/>
    <mergeCell ref="Q40:U40"/>
    <mergeCell ref="O41:P41"/>
    <mergeCell ref="Q41:U41"/>
    <mergeCell ref="O35:P35"/>
    <mergeCell ref="Q35:U35"/>
    <mergeCell ref="O34:P34"/>
    <mergeCell ref="Q36:U36"/>
    <mergeCell ref="O36:P36"/>
    <mergeCell ref="Q34:U34"/>
    <mergeCell ref="A408:D408"/>
    <mergeCell ref="E408:F408"/>
    <mergeCell ref="G408:H408"/>
    <mergeCell ref="I408:K408"/>
    <mergeCell ref="O408:P408"/>
    <mergeCell ref="Q408:U408"/>
    <mergeCell ref="G407:H407"/>
    <mergeCell ref="I407:K407"/>
    <mergeCell ref="O407:P407"/>
    <mergeCell ref="A407:D407"/>
    <mergeCell ref="E407:F407"/>
    <mergeCell ref="O406:P406"/>
    <mergeCell ref="Q406:U406"/>
    <mergeCell ref="Q407:U407"/>
    <mergeCell ref="B406:D406"/>
    <mergeCell ref="E406:F406"/>
    <mergeCell ref="G406:H406"/>
    <mergeCell ref="I406:K406"/>
    <mergeCell ref="O403:P403"/>
    <mergeCell ref="Q403:U403"/>
    <mergeCell ref="A404:U404"/>
    <mergeCell ref="A405:U405"/>
    <mergeCell ref="A403:D403"/>
    <mergeCell ref="E403:F403"/>
    <mergeCell ref="G403:H403"/>
    <mergeCell ref="I403:K403"/>
    <mergeCell ref="A402:D402"/>
    <mergeCell ref="E402:F402"/>
    <mergeCell ref="Q400:U400"/>
    <mergeCell ref="O401:P401"/>
    <mergeCell ref="Q401:U401"/>
    <mergeCell ref="G402:H402"/>
    <mergeCell ref="I402:K402"/>
    <mergeCell ref="O402:P402"/>
    <mergeCell ref="Q402:U402"/>
    <mergeCell ref="E400:F400"/>
    <mergeCell ref="B401:D401"/>
    <mergeCell ref="E401:F401"/>
    <mergeCell ref="G401:H401"/>
    <mergeCell ref="I401:K401"/>
    <mergeCell ref="O400:P400"/>
    <mergeCell ref="A396:U396"/>
    <mergeCell ref="B397:D397"/>
    <mergeCell ref="E397:F397"/>
    <mergeCell ref="G397:H397"/>
    <mergeCell ref="I397:K397"/>
    <mergeCell ref="B400:D400"/>
    <mergeCell ref="G400:H400"/>
    <mergeCell ref="I400:K400"/>
    <mergeCell ref="O397:P397"/>
    <mergeCell ref="A392:D392"/>
    <mergeCell ref="E392:F392"/>
    <mergeCell ref="G392:H392"/>
    <mergeCell ref="I392:K392"/>
    <mergeCell ref="Q397:U397"/>
    <mergeCell ref="A399:U399"/>
    <mergeCell ref="Q395:U395"/>
    <mergeCell ref="B398:D398"/>
    <mergeCell ref="E398:F398"/>
    <mergeCell ref="G398:H398"/>
    <mergeCell ref="I398:K398"/>
    <mergeCell ref="O398:P398"/>
    <mergeCell ref="Q398:U398"/>
    <mergeCell ref="O395:P395"/>
    <mergeCell ref="E395:F395"/>
    <mergeCell ref="G395:H395"/>
    <mergeCell ref="I395:K395"/>
    <mergeCell ref="A393:U393"/>
    <mergeCell ref="B395:D395"/>
    <mergeCell ref="A394:U394"/>
    <mergeCell ref="Q392:U392"/>
    <mergeCell ref="O388:P388"/>
    <mergeCell ref="Q388:U388"/>
    <mergeCell ref="G388:H388"/>
    <mergeCell ref="O392:P392"/>
    <mergeCell ref="G390:H390"/>
    <mergeCell ref="I390:K390"/>
    <mergeCell ref="Q390:U390"/>
    <mergeCell ref="A389:U389"/>
    <mergeCell ref="B388:D388"/>
    <mergeCell ref="B387:D387"/>
    <mergeCell ref="E387:F387"/>
    <mergeCell ref="G387:H387"/>
    <mergeCell ref="I387:K387"/>
    <mergeCell ref="E388:F388"/>
    <mergeCell ref="I388:K388"/>
    <mergeCell ref="O386:P386"/>
    <mergeCell ref="Q386:U386"/>
    <mergeCell ref="G386:H386"/>
    <mergeCell ref="I386:K386"/>
    <mergeCell ref="O387:P387"/>
    <mergeCell ref="Q387:U387"/>
    <mergeCell ref="B385:D385"/>
    <mergeCell ref="E385:F385"/>
    <mergeCell ref="B386:D386"/>
    <mergeCell ref="E386:F386"/>
    <mergeCell ref="G385:H385"/>
    <mergeCell ref="I385:K385"/>
    <mergeCell ref="O383:P383"/>
    <mergeCell ref="Q383:U383"/>
    <mergeCell ref="O384:P384"/>
    <mergeCell ref="Q384:U384"/>
    <mergeCell ref="O385:P385"/>
    <mergeCell ref="Q385:U385"/>
    <mergeCell ref="B384:D384"/>
    <mergeCell ref="E384:F384"/>
    <mergeCell ref="G384:H384"/>
    <mergeCell ref="I384:K384"/>
    <mergeCell ref="B383:D383"/>
    <mergeCell ref="E383:F383"/>
    <mergeCell ref="G383:H383"/>
    <mergeCell ref="I383:K383"/>
    <mergeCell ref="O382:P382"/>
    <mergeCell ref="Q382:U382"/>
    <mergeCell ref="B381:D381"/>
    <mergeCell ref="E381:F381"/>
    <mergeCell ref="B382:D382"/>
    <mergeCell ref="E382:F382"/>
    <mergeCell ref="G382:H382"/>
    <mergeCell ref="I382:K382"/>
    <mergeCell ref="G381:H381"/>
    <mergeCell ref="I381:K381"/>
    <mergeCell ref="O379:P379"/>
    <mergeCell ref="Q379:U379"/>
    <mergeCell ref="O380:P380"/>
    <mergeCell ref="Q380:U380"/>
    <mergeCell ref="O381:P381"/>
    <mergeCell ref="Q381:U381"/>
    <mergeCell ref="B380:D380"/>
    <mergeCell ref="E380:F380"/>
    <mergeCell ref="G380:H380"/>
    <mergeCell ref="I380:K380"/>
    <mergeCell ref="B379:D379"/>
    <mergeCell ref="E379:F379"/>
    <mergeCell ref="G379:H379"/>
    <mergeCell ref="I379:K379"/>
    <mergeCell ref="O378:P378"/>
    <mergeCell ref="Q378:U378"/>
    <mergeCell ref="B377:D377"/>
    <mergeCell ref="E377:F377"/>
    <mergeCell ref="B378:D378"/>
    <mergeCell ref="E378:F378"/>
    <mergeCell ref="G378:H378"/>
    <mergeCell ref="I378:K378"/>
    <mergeCell ref="G377:H377"/>
    <mergeCell ref="I377:K377"/>
    <mergeCell ref="O375:P375"/>
    <mergeCell ref="Q375:U375"/>
    <mergeCell ref="O376:P376"/>
    <mergeCell ref="Q376:U376"/>
    <mergeCell ref="O377:P377"/>
    <mergeCell ref="Q377:U377"/>
    <mergeCell ref="B376:D376"/>
    <mergeCell ref="E376:F376"/>
    <mergeCell ref="G376:H376"/>
    <mergeCell ref="I376:K376"/>
    <mergeCell ref="B375:D375"/>
    <mergeCell ref="E375:F375"/>
    <mergeCell ref="G375:H375"/>
    <mergeCell ref="I375:K375"/>
    <mergeCell ref="O374:P374"/>
    <mergeCell ref="Q374:U374"/>
    <mergeCell ref="B373:D373"/>
    <mergeCell ref="E373:F373"/>
    <mergeCell ref="B374:D374"/>
    <mergeCell ref="E374:F374"/>
    <mergeCell ref="G374:H374"/>
    <mergeCell ref="I374:K374"/>
    <mergeCell ref="G373:H373"/>
    <mergeCell ref="I373:K373"/>
    <mergeCell ref="O371:P371"/>
    <mergeCell ref="Q371:U371"/>
    <mergeCell ref="O372:P372"/>
    <mergeCell ref="Q372:U372"/>
    <mergeCell ref="O373:P373"/>
    <mergeCell ref="Q373:U373"/>
    <mergeCell ref="B372:D372"/>
    <mergeCell ref="E372:F372"/>
    <mergeCell ref="G372:H372"/>
    <mergeCell ref="I372:K372"/>
    <mergeCell ref="B371:D371"/>
    <mergeCell ref="E371:F371"/>
    <mergeCell ref="G371:H371"/>
    <mergeCell ref="I371:K371"/>
    <mergeCell ref="O370:P370"/>
    <mergeCell ref="Q370:U370"/>
    <mergeCell ref="B369:D369"/>
    <mergeCell ref="E369:F369"/>
    <mergeCell ref="B370:D370"/>
    <mergeCell ref="E370:F370"/>
    <mergeCell ref="G370:H370"/>
    <mergeCell ref="I370:K370"/>
    <mergeCell ref="G369:H369"/>
    <mergeCell ref="I369:K369"/>
    <mergeCell ref="O367:P367"/>
    <mergeCell ref="Q367:U367"/>
    <mergeCell ref="O368:P368"/>
    <mergeCell ref="Q368:U368"/>
    <mergeCell ref="O369:P369"/>
    <mergeCell ref="Q369:U369"/>
    <mergeCell ref="B368:D368"/>
    <mergeCell ref="E368:F368"/>
    <mergeCell ref="G368:H368"/>
    <mergeCell ref="I368:K368"/>
    <mergeCell ref="B367:D367"/>
    <mergeCell ref="E367:F367"/>
    <mergeCell ref="G367:H367"/>
    <mergeCell ref="I367:K367"/>
    <mergeCell ref="O366:P366"/>
    <mergeCell ref="Q366:U366"/>
    <mergeCell ref="B365:D365"/>
    <mergeCell ref="E365:F365"/>
    <mergeCell ref="B366:D366"/>
    <mergeCell ref="E366:F366"/>
    <mergeCell ref="G366:H366"/>
    <mergeCell ref="I366:K366"/>
    <mergeCell ref="G365:H365"/>
    <mergeCell ref="I365:K365"/>
    <mergeCell ref="B364:D364"/>
    <mergeCell ref="E364:F364"/>
    <mergeCell ref="G364:H364"/>
    <mergeCell ref="I364:K364"/>
    <mergeCell ref="G363:H363"/>
    <mergeCell ref="I363:K363"/>
    <mergeCell ref="O365:P365"/>
    <mergeCell ref="Q365:U365"/>
    <mergeCell ref="O363:P363"/>
    <mergeCell ref="Q363:U363"/>
    <mergeCell ref="O364:P364"/>
    <mergeCell ref="Q364:U364"/>
    <mergeCell ref="B362:D362"/>
    <mergeCell ref="E362:F362"/>
    <mergeCell ref="B363:D363"/>
    <mergeCell ref="E363:F363"/>
    <mergeCell ref="Q359:U359"/>
    <mergeCell ref="O362:P362"/>
    <mergeCell ref="Q362:U362"/>
    <mergeCell ref="G362:H362"/>
    <mergeCell ref="I362:K362"/>
    <mergeCell ref="O360:P360"/>
    <mergeCell ref="Q360:U360"/>
    <mergeCell ref="Q361:U361"/>
    <mergeCell ref="O361:P361"/>
    <mergeCell ref="G360:H360"/>
    <mergeCell ref="B359:D359"/>
    <mergeCell ref="B361:D361"/>
    <mergeCell ref="E361:F361"/>
    <mergeCell ref="B360:D360"/>
    <mergeCell ref="E360:F360"/>
    <mergeCell ref="G361:H361"/>
    <mergeCell ref="I361:K361"/>
    <mergeCell ref="Q356:U356"/>
    <mergeCell ref="Q357:U357"/>
    <mergeCell ref="O358:P358"/>
    <mergeCell ref="Q358:U358"/>
    <mergeCell ref="O357:P357"/>
    <mergeCell ref="I360:K360"/>
    <mergeCell ref="G359:H359"/>
    <mergeCell ref="I359:K359"/>
    <mergeCell ref="B357:D357"/>
    <mergeCell ref="E357:F357"/>
    <mergeCell ref="I357:K357"/>
    <mergeCell ref="O359:P359"/>
    <mergeCell ref="B358:D358"/>
    <mergeCell ref="E358:F358"/>
    <mergeCell ref="G358:H358"/>
    <mergeCell ref="I358:K358"/>
    <mergeCell ref="G357:H357"/>
    <mergeCell ref="E359:F359"/>
    <mergeCell ref="O352:P352"/>
    <mergeCell ref="G352:H352"/>
    <mergeCell ref="I352:K352"/>
    <mergeCell ref="G354:H354"/>
    <mergeCell ref="I354:K354"/>
    <mergeCell ref="O354:P354"/>
    <mergeCell ref="Q352:U352"/>
    <mergeCell ref="A355:U355"/>
    <mergeCell ref="B356:D356"/>
    <mergeCell ref="E356:F356"/>
    <mergeCell ref="G356:H356"/>
    <mergeCell ref="I356:K356"/>
    <mergeCell ref="O356:P356"/>
    <mergeCell ref="A353:U353"/>
    <mergeCell ref="B354:D354"/>
    <mergeCell ref="E354:F354"/>
    <mergeCell ref="E349:F349"/>
    <mergeCell ref="G349:H349"/>
    <mergeCell ref="Q354:U354"/>
    <mergeCell ref="O350:P350"/>
    <mergeCell ref="Q350:U350"/>
    <mergeCell ref="E351:F351"/>
    <mergeCell ref="G351:H351"/>
    <mergeCell ref="I351:K351"/>
    <mergeCell ref="O351:P351"/>
    <mergeCell ref="Q351:U351"/>
    <mergeCell ref="E350:F350"/>
    <mergeCell ref="G350:H350"/>
    <mergeCell ref="I350:K350"/>
    <mergeCell ref="A352:D352"/>
    <mergeCell ref="E352:F352"/>
    <mergeCell ref="B351:D351"/>
    <mergeCell ref="B350:D350"/>
    <mergeCell ref="I349:K349"/>
    <mergeCell ref="O349:P349"/>
    <mergeCell ref="Q349:U349"/>
    <mergeCell ref="A347:D347"/>
    <mergeCell ref="E347:F347"/>
    <mergeCell ref="G347:H347"/>
    <mergeCell ref="I347:K347"/>
    <mergeCell ref="Q347:U347"/>
    <mergeCell ref="A348:U348"/>
    <mergeCell ref="B349:D349"/>
    <mergeCell ref="Q346:U346"/>
    <mergeCell ref="Q345:U345"/>
    <mergeCell ref="O343:P343"/>
    <mergeCell ref="O345:P345"/>
    <mergeCell ref="B343:D343"/>
    <mergeCell ref="E343:F343"/>
    <mergeCell ref="O346:P346"/>
    <mergeCell ref="O347:P347"/>
    <mergeCell ref="G346:H346"/>
    <mergeCell ref="I346:K346"/>
    <mergeCell ref="O344:P344"/>
    <mergeCell ref="G345:H345"/>
    <mergeCell ref="I345:K345"/>
    <mergeCell ref="B345:D345"/>
    <mergeCell ref="E345:F345"/>
    <mergeCell ref="B346:D346"/>
    <mergeCell ref="E346:F346"/>
    <mergeCell ref="B344:D344"/>
    <mergeCell ref="E344:F344"/>
    <mergeCell ref="G344:H344"/>
    <mergeCell ref="I344:K344"/>
    <mergeCell ref="Q341:U341"/>
    <mergeCell ref="O342:P342"/>
    <mergeCell ref="Q342:U342"/>
    <mergeCell ref="G343:H343"/>
    <mergeCell ref="I343:K343"/>
    <mergeCell ref="Q343:U343"/>
    <mergeCell ref="Q344:U344"/>
    <mergeCell ref="B342:D342"/>
    <mergeCell ref="E342:F342"/>
    <mergeCell ref="G342:H342"/>
    <mergeCell ref="I342:K342"/>
    <mergeCell ref="O340:P340"/>
    <mergeCell ref="B341:D341"/>
    <mergeCell ref="E341:F341"/>
    <mergeCell ref="G341:H341"/>
    <mergeCell ref="I341:K341"/>
    <mergeCell ref="O341:P341"/>
    <mergeCell ref="B340:D340"/>
    <mergeCell ref="E340:F340"/>
    <mergeCell ref="G340:H340"/>
    <mergeCell ref="I340:K340"/>
    <mergeCell ref="Q337:U337"/>
    <mergeCell ref="O338:P338"/>
    <mergeCell ref="Q338:U338"/>
    <mergeCell ref="A339:U339"/>
    <mergeCell ref="Q340:U340"/>
    <mergeCell ref="B337:D337"/>
    <mergeCell ref="E337:F337"/>
    <mergeCell ref="G337:H337"/>
    <mergeCell ref="I337:K337"/>
    <mergeCell ref="A338:D338"/>
    <mergeCell ref="E338:F338"/>
    <mergeCell ref="G338:H338"/>
    <mergeCell ref="I338:K338"/>
    <mergeCell ref="O337:P337"/>
    <mergeCell ref="Q334:U334"/>
    <mergeCell ref="A335:U335"/>
    <mergeCell ref="B336:D336"/>
    <mergeCell ref="E336:F336"/>
    <mergeCell ref="G336:H336"/>
    <mergeCell ref="I336:K336"/>
    <mergeCell ref="O336:P336"/>
    <mergeCell ref="Q336:U336"/>
    <mergeCell ref="A334:D334"/>
    <mergeCell ref="E333:F333"/>
    <mergeCell ref="G333:H333"/>
    <mergeCell ref="I333:K333"/>
    <mergeCell ref="O334:P334"/>
    <mergeCell ref="G331:H331"/>
    <mergeCell ref="I331:K331"/>
    <mergeCell ref="G330:H330"/>
    <mergeCell ref="E334:F334"/>
    <mergeCell ref="G334:H334"/>
    <mergeCell ref="I334:K334"/>
    <mergeCell ref="A332:U332"/>
    <mergeCell ref="O333:P333"/>
    <mergeCell ref="Q333:U333"/>
    <mergeCell ref="B333:D333"/>
    <mergeCell ref="B330:D330"/>
    <mergeCell ref="E330:F330"/>
    <mergeCell ref="A331:D331"/>
    <mergeCell ref="E331:F331"/>
    <mergeCell ref="O329:P329"/>
    <mergeCell ref="Q330:U330"/>
    <mergeCell ref="O331:P331"/>
    <mergeCell ref="Q331:U331"/>
    <mergeCell ref="I330:K330"/>
    <mergeCell ref="Q329:U329"/>
    <mergeCell ref="O330:P330"/>
    <mergeCell ref="O327:P327"/>
    <mergeCell ref="Q327:U327"/>
    <mergeCell ref="A328:U328"/>
    <mergeCell ref="B329:D329"/>
    <mergeCell ref="E329:F329"/>
    <mergeCell ref="G329:H329"/>
    <mergeCell ref="I329:K329"/>
    <mergeCell ref="A327:D327"/>
    <mergeCell ref="E327:F327"/>
    <mergeCell ref="G327:H327"/>
    <mergeCell ref="I327:K327"/>
    <mergeCell ref="Q324:U324"/>
    <mergeCell ref="O326:P326"/>
    <mergeCell ref="Q326:U326"/>
    <mergeCell ref="A325:U325"/>
    <mergeCell ref="B326:D326"/>
    <mergeCell ref="E326:F326"/>
    <mergeCell ref="G326:H326"/>
    <mergeCell ref="I326:K326"/>
    <mergeCell ref="A324:D324"/>
    <mergeCell ref="E324:F324"/>
    <mergeCell ref="G324:H324"/>
    <mergeCell ref="I324:K324"/>
    <mergeCell ref="O322:P322"/>
    <mergeCell ref="O324:P324"/>
    <mergeCell ref="O319:P319"/>
    <mergeCell ref="Q319:U319"/>
    <mergeCell ref="A321:U321"/>
    <mergeCell ref="B322:D322"/>
    <mergeCell ref="E322:F322"/>
    <mergeCell ref="G319:H319"/>
    <mergeCell ref="I319:K319"/>
    <mergeCell ref="A319:D319"/>
    <mergeCell ref="E319:F319"/>
    <mergeCell ref="G322:H322"/>
    <mergeCell ref="A320:U320"/>
    <mergeCell ref="Q322:U322"/>
    <mergeCell ref="O323:P323"/>
    <mergeCell ref="Q323:U323"/>
    <mergeCell ref="B323:D323"/>
    <mergeCell ref="E323:F323"/>
    <mergeCell ref="G323:H323"/>
    <mergeCell ref="I323:K323"/>
    <mergeCell ref="I322:K322"/>
    <mergeCell ref="A317:U317"/>
    <mergeCell ref="B318:D318"/>
    <mergeCell ref="E318:F318"/>
    <mergeCell ref="G318:H318"/>
    <mergeCell ref="I318:K318"/>
    <mergeCell ref="O318:P318"/>
    <mergeCell ref="Q318:U318"/>
    <mergeCell ref="B314:D314"/>
    <mergeCell ref="E314:F314"/>
    <mergeCell ref="G314:H314"/>
    <mergeCell ref="O314:P314"/>
    <mergeCell ref="Q314:U314"/>
    <mergeCell ref="A315:U315"/>
    <mergeCell ref="B316:D316"/>
    <mergeCell ref="B312:D312"/>
    <mergeCell ref="Q316:U316"/>
    <mergeCell ref="G316:H316"/>
    <mergeCell ref="I316:K316"/>
    <mergeCell ref="O316:P316"/>
    <mergeCell ref="E316:F316"/>
    <mergeCell ref="I314:K314"/>
    <mergeCell ref="A313:U313"/>
    <mergeCell ref="O311:P311"/>
    <mergeCell ref="Q311:U311"/>
    <mergeCell ref="O312:P312"/>
    <mergeCell ref="Q312:U312"/>
    <mergeCell ref="O309:P309"/>
    <mergeCell ref="Q309:U309"/>
    <mergeCell ref="E312:F312"/>
    <mergeCell ref="G312:H312"/>
    <mergeCell ref="I312:K312"/>
    <mergeCell ref="A310:U310"/>
    <mergeCell ref="B311:D311"/>
    <mergeCell ref="E311:F311"/>
    <mergeCell ref="G311:H311"/>
    <mergeCell ref="I311:K311"/>
    <mergeCell ref="B309:D309"/>
    <mergeCell ref="E309:F309"/>
    <mergeCell ref="G309:H309"/>
    <mergeCell ref="I309:K309"/>
    <mergeCell ref="O307:P307"/>
    <mergeCell ref="Q307:U307"/>
    <mergeCell ref="B306:D306"/>
    <mergeCell ref="A308:U308"/>
    <mergeCell ref="B307:D307"/>
    <mergeCell ref="E307:F307"/>
    <mergeCell ref="G307:H307"/>
    <mergeCell ref="I307:K307"/>
    <mergeCell ref="E306:F306"/>
    <mergeCell ref="G306:H306"/>
    <mergeCell ref="I306:K306"/>
    <mergeCell ref="B304:D304"/>
    <mergeCell ref="E304:F304"/>
    <mergeCell ref="B305:D305"/>
    <mergeCell ref="E305:F305"/>
    <mergeCell ref="G304:H304"/>
    <mergeCell ref="I304:K304"/>
    <mergeCell ref="G305:H305"/>
    <mergeCell ref="I305:K305"/>
    <mergeCell ref="Q302:U302"/>
    <mergeCell ref="O303:P303"/>
    <mergeCell ref="Q303:U303"/>
    <mergeCell ref="O306:P306"/>
    <mergeCell ref="Q306:U306"/>
    <mergeCell ref="O304:P304"/>
    <mergeCell ref="O305:P305"/>
    <mergeCell ref="Q305:U305"/>
    <mergeCell ref="Q304:U304"/>
    <mergeCell ref="O302:P302"/>
    <mergeCell ref="B303:D303"/>
    <mergeCell ref="E303:F303"/>
    <mergeCell ref="G303:H303"/>
    <mergeCell ref="I303:K303"/>
    <mergeCell ref="B302:D302"/>
    <mergeCell ref="E302:F302"/>
    <mergeCell ref="G302:H302"/>
    <mergeCell ref="I302:K302"/>
    <mergeCell ref="A300:U300"/>
    <mergeCell ref="B301:D301"/>
    <mergeCell ref="E301:F301"/>
    <mergeCell ref="G301:H301"/>
    <mergeCell ref="I301:K301"/>
    <mergeCell ref="O301:P301"/>
    <mergeCell ref="Q301:U301"/>
    <mergeCell ref="A298:U298"/>
    <mergeCell ref="B299:D299"/>
    <mergeCell ref="E299:F299"/>
    <mergeCell ref="G299:H299"/>
    <mergeCell ref="I299:K299"/>
    <mergeCell ref="O299:P299"/>
    <mergeCell ref="Q299:U299"/>
    <mergeCell ref="A296:U296"/>
    <mergeCell ref="B297:D297"/>
    <mergeCell ref="E297:F297"/>
    <mergeCell ref="G297:H297"/>
    <mergeCell ref="I297:K297"/>
    <mergeCell ref="O297:P297"/>
    <mergeCell ref="Q297:U297"/>
    <mergeCell ref="A294:U294"/>
    <mergeCell ref="B295:D295"/>
    <mergeCell ref="E295:F295"/>
    <mergeCell ref="G295:H295"/>
    <mergeCell ref="I295:K295"/>
    <mergeCell ref="O295:P295"/>
    <mergeCell ref="Q295:U295"/>
    <mergeCell ref="O293:P293"/>
    <mergeCell ref="Q293:U293"/>
    <mergeCell ref="B293:D293"/>
    <mergeCell ref="E293:F293"/>
    <mergeCell ref="G293:H293"/>
    <mergeCell ref="I293:K293"/>
    <mergeCell ref="A291:U291"/>
    <mergeCell ref="B292:D292"/>
    <mergeCell ref="E292:F292"/>
    <mergeCell ref="G292:H292"/>
    <mergeCell ref="I292:K292"/>
    <mergeCell ref="O292:P292"/>
    <mergeCell ref="Q292:U292"/>
    <mergeCell ref="A289:U289"/>
    <mergeCell ref="B290:D290"/>
    <mergeCell ref="E290:F290"/>
    <mergeCell ref="G290:H290"/>
    <mergeCell ref="I290:K290"/>
    <mergeCell ref="O290:P290"/>
    <mergeCell ref="Q290:U290"/>
    <mergeCell ref="A287:U287"/>
    <mergeCell ref="B288:D288"/>
    <mergeCell ref="E288:F288"/>
    <mergeCell ref="G288:H288"/>
    <mergeCell ref="I288:K288"/>
    <mergeCell ref="O288:P288"/>
    <mergeCell ref="Q288:U288"/>
    <mergeCell ref="A285:U285"/>
    <mergeCell ref="B286:D286"/>
    <mergeCell ref="E286:F286"/>
    <mergeCell ref="G286:H286"/>
    <mergeCell ref="I286:K286"/>
    <mergeCell ref="O286:P286"/>
    <mergeCell ref="Q286:U286"/>
    <mergeCell ref="A283:U283"/>
    <mergeCell ref="B284:D284"/>
    <mergeCell ref="E284:F284"/>
    <mergeCell ref="G284:H284"/>
    <mergeCell ref="I284:K284"/>
    <mergeCell ref="O284:P284"/>
    <mergeCell ref="Q284:U284"/>
    <mergeCell ref="O280:P280"/>
    <mergeCell ref="A281:U281"/>
    <mergeCell ref="B282:D282"/>
    <mergeCell ref="E282:F282"/>
    <mergeCell ref="G282:H282"/>
    <mergeCell ref="I282:K282"/>
    <mergeCell ref="O282:P282"/>
    <mergeCell ref="Q282:U282"/>
    <mergeCell ref="B280:D280"/>
    <mergeCell ref="G280:H280"/>
    <mergeCell ref="B279:D279"/>
    <mergeCell ref="Q280:U280"/>
    <mergeCell ref="B277:D277"/>
    <mergeCell ref="E277:F277"/>
    <mergeCell ref="G277:H277"/>
    <mergeCell ref="I277:K277"/>
    <mergeCell ref="O277:P277"/>
    <mergeCell ref="Q277:U277"/>
    <mergeCell ref="A278:U278"/>
    <mergeCell ref="E279:F279"/>
    <mergeCell ref="I280:K280"/>
    <mergeCell ref="I279:K279"/>
    <mergeCell ref="E280:F280"/>
    <mergeCell ref="G279:H279"/>
    <mergeCell ref="B276:D276"/>
    <mergeCell ref="E276:F276"/>
    <mergeCell ref="G276:H276"/>
    <mergeCell ref="I276:K276"/>
    <mergeCell ref="B275:D275"/>
    <mergeCell ref="E275:F275"/>
    <mergeCell ref="G275:H275"/>
    <mergeCell ref="I275:K275"/>
    <mergeCell ref="Q279:U279"/>
    <mergeCell ref="O275:P275"/>
    <mergeCell ref="Q275:U275"/>
    <mergeCell ref="O276:P276"/>
    <mergeCell ref="Q276:U276"/>
    <mergeCell ref="O279:P279"/>
    <mergeCell ref="A273:U273"/>
    <mergeCell ref="B274:D274"/>
    <mergeCell ref="E274:F274"/>
    <mergeCell ref="G274:H274"/>
    <mergeCell ref="I274:K274"/>
    <mergeCell ref="O274:P274"/>
    <mergeCell ref="Q274:U274"/>
    <mergeCell ref="G270:H270"/>
    <mergeCell ref="I270:K270"/>
    <mergeCell ref="A271:U271"/>
    <mergeCell ref="B272:D272"/>
    <mergeCell ref="E272:F272"/>
    <mergeCell ref="G272:H272"/>
    <mergeCell ref="I272:K272"/>
    <mergeCell ref="O272:P272"/>
    <mergeCell ref="Q272:U272"/>
    <mergeCell ref="A269:U269"/>
    <mergeCell ref="O270:P270"/>
    <mergeCell ref="Q270:U270"/>
    <mergeCell ref="Q267:U267"/>
    <mergeCell ref="A268:D268"/>
    <mergeCell ref="E268:F268"/>
    <mergeCell ref="G268:H268"/>
    <mergeCell ref="I268:K268"/>
    <mergeCell ref="B270:D270"/>
    <mergeCell ref="E270:F270"/>
    <mergeCell ref="O268:P268"/>
    <mergeCell ref="Q268:U268"/>
    <mergeCell ref="B267:D267"/>
    <mergeCell ref="E267:F267"/>
    <mergeCell ref="G267:H267"/>
    <mergeCell ref="I267:K267"/>
    <mergeCell ref="O267:P267"/>
    <mergeCell ref="A266:U266"/>
    <mergeCell ref="A264:U264"/>
    <mergeCell ref="B265:D265"/>
    <mergeCell ref="E265:F265"/>
    <mergeCell ref="G265:H265"/>
    <mergeCell ref="I265:K265"/>
    <mergeCell ref="O265:P265"/>
    <mergeCell ref="Q265:U265"/>
    <mergeCell ref="A262:U262"/>
    <mergeCell ref="B263:D263"/>
    <mergeCell ref="E263:F263"/>
    <mergeCell ref="G263:H263"/>
    <mergeCell ref="I263:K263"/>
    <mergeCell ref="O263:P263"/>
    <mergeCell ref="Q263:U263"/>
    <mergeCell ref="A260:U260"/>
    <mergeCell ref="B261:D261"/>
    <mergeCell ref="E261:F261"/>
    <mergeCell ref="G261:H261"/>
    <mergeCell ref="I261:K261"/>
    <mergeCell ref="O261:P261"/>
    <mergeCell ref="Q261:U261"/>
    <mergeCell ref="A258:U258"/>
    <mergeCell ref="B259:D259"/>
    <mergeCell ref="E259:F259"/>
    <mergeCell ref="G259:H259"/>
    <mergeCell ref="I259:K259"/>
    <mergeCell ref="O259:P259"/>
    <mergeCell ref="Q259:U259"/>
    <mergeCell ref="A256:U256"/>
    <mergeCell ref="B257:D257"/>
    <mergeCell ref="E257:F257"/>
    <mergeCell ref="G257:H257"/>
    <mergeCell ref="I257:K257"/>
    <mergeCell ref="O257:P257"/>
    <mergeCell ref="Q257:U257"/>
    <mergeCell ref="A254:U254"/>
    <mergeCell ref="B255:D255"/>
    <mergeCell ref="E255:F255"/>
    <mergeCell ref="G255:H255"/>
    <mergeCell ref="I255:K255"/>
    <mergeCell ref="O255:P255"/>
    <mergeCell ref="Q255:U255"/>
    <mergeCell ref="O253:P253"/>
    <mergeCell ref="Q253:U253"/>
    <mergeCell ref="B253:D253"/>
    <mergeCell ref="E253:F253"/>
    <mergeCell ref="G253:H253"/>
    <mergeCell ref="I253:K253"/>
    <mergeCell ref="A251:U251"/>
    <mergeCell ref="B252:D252"/>
    <mergeCell ref="E252:F252"/>
    <mergeCell ref="G252:H252"/>
    <mergeCell ref="I252:K252"/>
    <mergeCell ref="O252:P252"/>
    <mergeCell ref="Q252:U252"/>
    <mergeCell ref="A249:U249"/>
    <mergeCell ref="B250:D250"/>
    <mergeCell ref="E250:F250"/>
    <mergeCell ref="G250:H250"/>
    <mergeCell ref="I250:K250"/>
    <mergeCell ref="O250:P250"/>
    <mergeCell ref="Q250:U250"/>
    <mergeCell ref="O247:P247"/>
    <mergeCell ref="Q247:U247"/>
    <mergeCell ref="B248:D248"/>
    <mergeCell ref="E248:F248"/>
    <mergeCell ref="G248:H248"/>
    <mergeCell ref="I248:K248"/>
    <mergeCell ref="B247:D247"/>
    <mergeCell ref="E247:F247"/>
    <mergeCell ref="G247:H247"/>
    <mergeCell ref="I247:K247"/>
    <mergeCell ref="O248:P248"/>
    <mergeCell ref="Q248:U248"/>
    <mergeCell ref="A244:U244"/>
    <mergeCell ref="B245:D245"/>
    <mergeCell ref="E245:F245"/>
    <mergeCell ref="G245:H245"/>
    <mergeCell ref="I245:K245"/>
    <mergeCell ref="O245:P245"/>
    <mergeCell ref="Q245:U245"/>
    <mergeCell ref="A246:U246"/>
    <mergeCell ref="O243:P243"/>
    <mergeCell ref="Q243:U243"/>
    <mergeCell ref="B243:D243"/>
    <mergeCell ref="E243:F243"/>
    <mergeCell ref="G243:H243"/>
    <mergeCell ref="I243:K243"/>
    <mergeCell ref="A241:U241"/>
    <mergeCell ref="B242:D242"/>
    <mergeCell ref="E242:F242"/>
    <mergeCell ref="G242:H242"/>
    <mergeCell ref="I242:K242"/>
    <mergeCell ref="O242:P242"/>
    <mergeCell ref="Q242:U242"/>
    <mergeCell ref="A239:U239"/>
    <mergeCell ref="B240:D240"/>
    <mergeCell ref="E240:F240"/>
    <mergeCell ref="G240:H240"/>
    <mergeCell ref="I240:K240"/>
    <mergeCell ref="O240:P240"/>
    <mergeCell ref="Q240:U240"/>
    <mergeCell ref="A237:U237"/>
    <mergeCell ref="B238:D238"/>
    <mergeCell ref="E238:F238"/>
    <mergeCell ref="G238:H238"/>
    <mergeCell ref="I238:K238"/>
    <mergeCell ref="O238:P238"/>
    <mergeCell ref="Q238:U238"/>
    <mergeCell ref="Q234:U234"/>
    <mergeCell ref="A235:U235"/>
    <mergeCell ref="B236:D236"/>
    <mergeCell ref="E236:F236"/>
    <mergeCell ref="G236:H236"/>
    <mergeCell ref="I236:K236"/>
    <mergeCell ref="O236:P236"/>
    <mergeCell ref="Q236:U236"/>
    <mergeCell ref="B234:D234"/>
    <mergeCell ref="E234:F234"/>
    <mergeCell ref="G234:H234"/>
    <mergeCell ref="I234:K234"/>
    <mergeCell ref="O232:P232"/>
    <mergeCell ref="O234:P234"/>
    <mergeCell ref="Q232:U232"/>
    <mergeCell ref="A230:U230"/>
    <mergeCell ref="A233:U233"/>
    <mergeCell ref="B232:D232"/>
    <mergeCell ref="E232:F232"/>
    <mergeCell ref="G232:H232"/>
    <mergeCell ref="I232:K232"/>
    <mergeCell ref="O231:P231"/>
    <mergeCell ref="Q231:U231"/>
    <mergeCell ref="B231:D231"/>
    <mergeCell ref="E231:F231"/>
    <mergeCell ref="G231:H231"/>
    <mergeCell ref="I231:K231"/>
    <mergeCell ref="A227:U227"/>
    <mergeCell ref="A228:U228"/>
    <mergeCell ref="A226:D226"/>
    <mergeCell ref="E226:F226"/>
    <mergeCell ref="G226:H226"/>
    <mergeCell ref="B229:D229"/>
    <mergeCell ref="E229:F229"/>
    <mergeCell ref="G229:H229"/>
    <mergeCell ref="O226:P226"/>
    <mergeCell ref="I226:K226"/>
    <mergeCell ref="O229:P229"/>
    <mergeCell ref="Q229:U229"/>
    <mergeCell ref="Q226:U226"/>
    <mergeCell ref="I229:K229"/>
    <mergeCell ref="Q225:U225"/>
    <mergeCell ref="A225:D225"/>
    <mergeCell ref="E225:F225"/>
    <mergeCell ref="G225:H225"/>
    <mergeCell ref="I225:K225"/>
    <mergeCell ref="O222:P222"/>
    <mergeCell ref="G222:H222"/>
    <mergeCell ref="I222:K222"/>
    <mergeCell ref="O225:P225"/>
    <mergeCell ref="Q222:U222"/>
    <mergeCell ref="A223:U223"/>
    <mergeCell ref="B224:D224"/>
    <mergeCell ref="E224:F224"/>
    <mergeCell ref="G224:H224"/>
    <mergeCell ref="I224:K224"/>
    <mergeCell ref="O224:P224"/>
    <mergeCell ref="Q224:U224"/>
    <mergeCell ref="A222:D222"/>
    <mergeCell ref="E222:F222"/>
    <mergeCell ref="A220:U220"/>
    <mergeCell ref="B221:D221"/>
    <mergeCell ref="E221:F221"/>
    <mergeCell ref="G221:H221"/>
    <mergeCell ref="I221:K221"/>
    <mergeCell ref="O221:P221"/>
    <mergeCell ref="Q221:U221"/>
    <mergeCell ref="O219:P219"/>
    <mergeCell ref="Q219:U219"/>
    <mergeCell ref="B218:D218"/>
    <mergeCell ref="E218:F218"/>
    <mergeCell ref="A219:D219"/>
    <mergeCell ref="E219:F219"/>
    <mergeCell ref="G219:H219"/>
    <mergeCell ref="I219:K219"/>
    <mergeCell ref="G218:H218"/>
    <mergeCell ref="I218:K218"/>
    <mergeCell ref="O216:P216"/>
    <mergeCell ref="Q216:U216"/>
    <mergeCell ref="O217:P217"/>
    <mergeCell ref="Q217:U217"/>
    <mergeCell ref="O218:P218"/>
    <mergeCell ref="Q218:U218"/>
    <mergeCell ref="B217:D217"/>
    <mergeCell ref="E217:F217"/>
    <mergeCell ref="G217:H217"/>
    <mergeCell ref="I217:K217"/>
    <mergeCell ref="B216:D216"/>
    <mergeCell ref="E216:F216"/>
    <mergeCell ref="G216:H216"/>
    <mergeCell ref="I216:K216"/>
    <mergeCell ref="O215:P215"/>
    <mergeCell ref="Q215:U215"/>
    <mergeCell ref="B214:D214"/>
    <mergeCell ref="E214:F214"/>
    <mergeCell ref="B215:D215"/>
    <mergeCell ref="E215:F215"/>
    <mergeCell ref="G215:H215"/>
    <mergeCell ref="I215:K215"/>
    <mergeCell ref="G214:H214"/>
    <mergeCell ref="I214:K214"/>
    <mergeCell ref="O212:P212"/>
    <mergeCell ref="Q212:U212"/>
    <mergeCell ref="O213:P213"/>
    <mergeCell ref="Q213:U213"/>
    <mergeCell ref="O214:P214"/>
    <mergeCell ref="Q214:U214"/>
    <mergeCell ref="B213:D213"/>
    <mergeCell ref="E213:F213"/>
    <mergeCell ref="G213:H213"/>
    <mergeCell ref="I213:K213"/>
    <mergeCell ref="B212:D212"/>
    <mergeCell ref="E212:F212"/>
    <mergeCell ref="G212:H212"/>
    <mergeCell ref="I212:K212"/>
    <mergeCell ref="O211:P211"/>
    <mergeCell ref="Q211:U211"/>
    <mergeCell ref="B210:D210"/>
    <mergeCell ref="E210:F210"/>
    <mergeCell ref="B211:D211"/>
    <mergeCell ref="E211:F211"/>
    <mergeCell ref="G211:H211"/>
    <mergeCell ref="I211:K211"/>
    <mergeCell ref="G210:H210"/>
    <mergeCell ref="I210:K210"/>
    <mergeCell ref="O208:P208"/>
    <mergeCell ref="Q208:U208"/>
    <mergeCell ref="O209:P209"/>
    <mergeCell ref="Q209:U209"/>
    <mergeCell ref="O210:P210"/>
    <mergeCell ref="Q210:U210"/>
    <mergeCell ref="B209:D209"/>
    <mergeCell ref="E209:F209"/>
    <mergeCell ref="G209:H209"/>
    <mergeCell ref="I209:K209"/>
    <mergeCell ref="B208:D208"/>
    <mergeCell ref="E208:F208"/>
    <mergeCell ref="G208:H208"/>
    <mergeCell ref="I208:K208"/>
    <mergeCell ref="O207:P207"/>
    <mergeCell ref="Q207:U207"/>
    <mergeCell ref="B206:D206"/>
    <mergeCell ref="E206:F206"/>
    <mergeCell ref="B207:D207"/>
    <mergeCell ref="E207:F207"/>
    <mergeCell ref="G207:H207"/>
    <mergeCell ref="I207:K207"/>
    <mergeCell ref="G206:H206"/>
    <mergeCell ref="I206:K206"/>
    <mergeCell ref="O204:P204"/>
    <mergeCell ref="Q204:U204"/>
    <mergeCell ref="O205:P205"/>
    <mergeCell ref="Q205:U205"/>
    <mergeCell ref="O206:P206"/>
    <mergeCell ref="Q206:U206"/>
    <mergeCell ref="B205:D205"/>
    <mergeCell ref="E205:F205"/>
    <mergeCell ref="G205:H205"/>
    <mergeCell ref="I205:K205"/>
    <mergeCell ref="B204:D204"/>
    <mergeCell ref="E204:F204"/>
    <mergeCell ref="G204:H204"/>
    <mergeCell ref="I204:K204"/>
    <mergeCell ref="G203:H203"/>
    <mergeCell ref="I203:K203"/>
    <mergeCell ref="G202:H202"/>
    <mergeCell ref="I202:K202"/>
    <mergeCell ref="B202:D202"/>
    <mergeCell ref="E202:F202"/>
    <mergeCell ref="B203:D203"/>
    <mergeCell ref="E203:F203"/>
    <mergeCell ref="O203:P203"/>
    <mergeCell ref="Q203:U203"/>
    <mergeCell ref="B200:D200"/>
    <mergeCell ref="E200:F200"/>
    <mergeCell ref="G200:H200"/>
    <mergeCell ref="I200:K200"/>
    <mergeCell ref="O202:P202"/>
    <mergeCell ref="Q202:U202"/>
    <mergeCell ref="B201:D201"/>
    <mergeCell ref="E201:F201"/>
    <mergeCell ref="G201:H201"/>
    <mergeCell ref="I201:K201"/>
    <mergeCell ref="O199:P199"/>
    <mergeCell ref="Q199:U199"/>
    <mergeCell ref="O200:P200"/>
    <mergeCell ref="Q200:U200"/>
    <mergeCell ref="O201:P201"/>
    <mergeCell ref="Q201:U201"/>
    <mergeCell ref="Q197:U197"/>
    <mergeCell ref="B198:D198"/>
    <mergeCell ref="E198:F198"/>
    <mergeCell ref="G198:H198"/>
    <mergeCell ref="I198:K198"/>
    <mergeCell ref="O198:P198"/>
    <mergeCell ref="Q198:U198"/>
    <mergeCell ref="B197:D197"/>
    <mergeCell ref="E197:F197"/>
    <mergeCell ref="G196:H196"/>
    <mergeCell ref="I196:K196"/>
    <mergeCell ref="B199:D199"/>
    <mergeCell ref="E199:F199"/>
    <mergeCell ref="G199:H199"/>
    <mergeCell ref="I199:K199"/>
    <mergeCell ref="O196:P196"/>
    <mergeCell ref="O197:P197"/>
    <mergeCell ref="Q196:U196"/>
    <mergeCell ref="G194:H194"/>
    <mergeCell ref="I194:K194"/>
    <mergeCell ref="G197:H197"/>
    <mergeCell ref="I197:K197"/>
    <mergeCell ref="A195:U195"/>
    <mergeCell ref="B196:D196"/>
    <mergeCell ref="E196:F196"/>
    <mergeCell ref="G193:H193"/>
    <mergeCell ref="I193:K193"/>
    <mergeCell ref="G192:H192"/>
    <mergeCell ref="A194:D194"/>
    <mergeCell ref="E194:F194"/>
    <mergeCell ref="B192:D192"/>
    <mergeCell ref="E192:F192"/>
    <mergeCell ref="B193:D193"/>
    <mergeCell ref="E193:F193"/>
    <mergeCell ref="O193:P193"/>
    <mergeCell ref="Q193:U193"/>
    <mergeCell ref="O194:P194"/>
    <mergeCell ref="Q194:U194"/>
    <mergeCell ref="O190:P190"/>
    <mergeCell ref="Q190:U190"/>
    <mergeCell ref="O191:P191"/>
    <mergeCell ref="Q191:U191"/>
    <mergeCell ref="O192:P192"/>
    <mergeCell ref="Q192:U192"/>
    <mergeCell ref="B191:D191"/>
    <mergeCell ref="E191:F191"/>
    <mergeCell ref="G191:H191"/>
    <mergeCell ref="I191:K191"/>
    <mergeCell ref="I192:K192"/>
    <mergeCell ref="B190:D190"/>
    <mergeCell ref="E190:F190"/>
    <mergeCell ref="G190:H190"/>
    <mergeCell ref="I190:K190"/>
    <mergeCell ref="O189:P189"/>
    <mergeCell ref="Q189:U189"/>
    <mergeCell ref="B188:D188"/>
    <mergeCell ref="E188:F188"/>
    <mergeCell ref="B189:D189"/>
    <mergeCell ref="E189:F189"/>
    <mergeCell ref="G189:H189"/>
    <mergeCell ref="I189:K189"/>
    <mergeCell ref="G188:H188"/>
    <mergeCell ref="I188:K188"/>
    <mergeCell ref="O186:P186"/>
    <mergeCell ref="Q186:U186"/>
    <mergeCell ref="O187:P187"/>
    <mergeCell ref="Q187:U187"/>
    <mergeCell ref="O188:P188"/>
    <mergeCell ref="Q188:U188"/>
    <mergeCell ref="B187:D187"/>
    <mergeCell ref="E187:F187"/>
    <mergeCell ref="G187:H187"/>
    <mergeCell ref="I187:K187"/>
    <mergeCell ref="B186:D186"/>
    <mergeCell ref="E186:F186"/>
    <mergeCell ref="G186:H186"/>
    <mergeCell ref="I186:K186"/>
    <mergeCell ref="O185:P185"/>
    <mergeCell ref="Q185:U185"/>
    <mergeCell ref="B184:D184"/>
    <mergeCell ref="E184:F184"/>
    <mergeCell ref="B185:D185"/>
    <mergeCell ref="E185:F185"/>
    <mergeCell ref="G185:H185"/>
    <mergeCell ref="I185:K185"/>
    <mergeCell ref="G184:H184"/>
    <mergeCell ref="I184:K184"/>
    <mergeCell ref="O182:P182"/>
    <mergeCell ref="Q182:U182"/>
    <mergeCell ref="O183:P183"/>
    <mergeCell ref="Q183:U183"/>
    <mergeCell ref="O184:P184"/>
    <mergeCell ref="Q184:U184"/>
    <mergeCell ref="B183:D183"/>
    <mergeCell ref="E183:F183"/>
    <mergeCell ref="G183:H183"/>
    <mergeCell ref="I183:K183"/>
    <mergeCell ref="B182:D182"/>
    <mergeCell ref="E182:F182"/>
    <mergeCell ref="G182:H182"/>
    <mergeCell ref="I182:K182"/>
    <mergeCell ref="O181:P181"/>
    <mergeCell ref="Q181:U181"/>
    <mergeCell ref="B180:D180"/>
    <mergeCell ref="E180:F180"/>
    <mergeCell ref="B181:D181"/>
    <mergeCell ref="E181:F181"/>
    <mergeCell ref="G181:H181"/>
    <mergeCell ref="I181:K181"/>
    <mergeCell ref="G180:H180"/>
    <mergeCell ref="I180:K180"/>
    <mergeCell ref="B179:D179"/>
    <mergeCell ref="E179:F179"/>
    <mergeCell ref="G179:H179"/>
    <mergeCell ref="I179:K179"/>
    <mergeCell ref="G178:H178"/>
    <mergeCell ref="I178:K178"/>
    <mergeCell ref="O180:P180"/>
    <mergeCell ref="Q180:U180"/>
    <mergeCell ref="O178:P178"/>
    <mergeCell ref="Q178:U178"/>
    <mergeCell ref="O179:P179"/>
    <mergeCell ref="Q179:U179"/>
    <mergeCell ref="B175:D175"/>
    <mergeCell ref="E175:F175"/>
    <mergeCell ref="B178:D178"/>
    <mergeCell ref="E178:F178"/>
    <mergeCell ref="Q174:U174"/>
    <mergeCell ref="O175:P175"/>
    <mergeCell ref="Q175:U175"/>
    <mergeCell ref="I174:K174"/>
    <mergeCell ref="I175:K175"/>
    <mergeCell ref="Q177:U177"/>
    <mergeCell ref="O176:P176"/>
    <mergeCell ref="Q176:U176"/>
    <mergeCell ref="B176:D176"/>
    <mergeCell ref="E176:F176"/>
    <mergeCell ref="B177:D177"/>
    <mergeCell ref="E177:F177"/>
    <mergeCell ref="G177:H177"/>
    <mergeCell ref="I177:K177"/>
    <mergeCell ref="G176:H176"/>
    <mergeCell ref="G175:H175"/>
    <mergeCell ref="O177:P177"/>
    <mergeCell ref="E172:F172"/>
    <mergeCell ref="G172:H172"/>
    <mergeCell ref="O172:P172"/>
    <mergeCell ref="O174:P174"/>
    <mergeCell ref="I176:K176"/>
    <mergeCell ref="B174:D174"/>
    <mergeCell ref="E174:F174"/>
    <mergeCell ref="G174:H174"/>
    <mergeCell ref="I172:K172"/>
    <mergeCell ref="Q172:U172"/>
    <mergeCell ref="B173:D173"/>
    <mergeCell ref="E173:F173"/>
    <mergeCell ref="G173:H173"/>
    <mergeCell ref="I173:K173"/>
    <mergeCell ref="O173:P173"/>
    <mergeCell ref="Q173:U173"/>
    <mergeCell ref="B172:D172"/>
    <mergeCell ref="O171:P171"/>
    <mergeCell ref="Q171:U171"/>
    <mergeCell ref="B171:D171"/>
    <mergeCell ref="E171:F171"/>
    <mergeCell ref="G171:H171"/>
    <mergeCell ref="I171:K171"/>
    <mergeCell ref="O170:P170"/>
    <mergeCell ref="Q170:U170"/>
    <mergeCell ref="B169:D169"/>
    <mergeCell ref="E169:F169"/>
    <mergeCell ref="B170:D170"/>
    <mergeCell ref="E170:F170"/>
    <mergeCell ref="G170:H170"/>
    <mergeCell ref="I170:K170"/>
    <mergeCell ref="G169:H169"/>
    <mergeCell ref="I169:K169"/>
    <mergeCell ref="O167:P167"/>
    <mergeCell ref="Q167:U167"/>
    <mergeCell ref="O168:P168"/>
    <mergeCell ref="Q168:U168"/>
    <mergeCell ref="O169:P169"/>
    <mergeCell ref="Q169:U169"/>
    <mergeCell ref="B168:D168"/>
    <mergeCell ref="E168:F168"/>
    <mergeCell ref="G168:H168"/>
    <mergeCell ref="I168:K168"/>
    <mergeCell ref="B167:D167"/>
    <mergeCell ref="E167:F167"/>
    <mergeCell ref="G167:H167"/>
    <mergeCell ref="I167:K167"/>
    <mergeCell ref="O166:P166"/>
    <mergeCell ref="Q166:U166"/>
    <mergeCell ref="B165:D165"/>
    <mergeCell ref="E165:F165"/>
    <mergeCell ref="B166:D166"/>
    <mergeCell ref="E166:F166"/>
    <mergeCell ref="G166:H166"/>
    <mergeCell ref="I166:K166"/>
    <mergeCell ref="G165:H165"/>
    <mergeCell ref="I165:K165"/>
    <mergeCell ref="O163:P163"/>
    <mergeCell ref="Q163:U163"/>
    <mergeCell ref="O164:P164"/>
    <mergeCell ref="Q164:U164"/>
    <mergeCell ref="O165:P165"/>
    <mergeCell ref="Q165:U165"/>
    <mergeCell ref="B164:D164"/>
    <mergeCell ref="E164:F164"/>
    <mergeCell ref="G164:H164"/>
    <mergeCell ref="I164:K164"/>
    <mergeCell ref="B163:D163"/>
    <mergeCell ref="E163:F163"/>
    <mergeCell ref="G163:H163"/>
    <mergeCell ref="I163:K163"/>
    <mergeCell ref="O162:P162"/>
    <mergeCell ref="Q162:U162"/>
    <mergeCell ref="B161:D161"/>
    <mergeCell ref="E161:F161"/>
    <mergeCell ref="B162:D162"/>
    <mergeCell ref="E162:F162"/>
    <mergeCell ref="G162:H162"/>
    <mergeCell ref="I162:K162"/>
    <mergeCell ref="G161:H161"/>
    <mergeCell ref="I161:K161"/>
    <mergeCell ref="O159:P159"/>
    <mergeCell ref="Q159:U159"/>
    <mergeCell ref="O160:P160"/>
    <mergeCell ref="Q160:U160"/>
    <mergeCell ref="O161:P161"/>
    <mergeCell ref="Q161:U161"/>
    <mergeCell ref="B160:D160"/>
    <mergeCell ref="E160:F160"/>
    <mergeCell ref="G160:H160"/>
    <mergeCell ref="I160:K160"/>
    <mergeCell ref="B159:D159"/>
    <mergeCell ref="E159:F159"/>
    <mergeCell ref="G159:H159"/>
    <mergeCell ref="I159:K159"/>
    <mergeCell ref="O158:P158"/>
    <mergeCell ref="Q158:U158"/>
    <mergeCell ref="B157:D157"/>
    <mergeCell ref="E157:F157"/>
    <mergeCell ref="B158:D158"/>
    <mergeCell ref="E158:F158"/>
    <mergeCell ref="G158:H158"/>
    <mergeCell ref="I158:K158"/>
    <mergeCell ref="G157:H157"/>
    <mergeCell ref="I157:K157"/>
    <mergeCell ref="O155:P155"/>
    <mergeCell ref="Q155:U155"/>
    <mergeCell ref="O156:P156"/>
    <mergeCell ref="Q156:U156"/>
    <mergeCell ref="O157:P157"/>
    <mergeCell ref="Q157:U157"/>
    <mergeCell ref="B156:D156"/>
    <mergeCell ref="E156:F156"/>
    <mergeCell ref="G156:H156"/>
    <mergeCell ref="I156:K156"/>
    <mergeCell ref="B155:D155"/>
    <mergeCell ref="E155:F155"/>
    <mergeCell ref="G155:H155"/>
    <mergeCell ref="I155:K155"/>
    <mergeCell ref="O154:P154"/>
    <mergeCell ref="Q154:U154"/>
    <mergeCell ref="B153:D153"/>
    <mergeCell ref="E153:F153"/>
    <mergeCell ref="B154:D154"/>
    <mergeCell ref="E154:F154"/>
    <mergeCell ref="G154:H154"/>
    <mergeCell ref="I154:K154"/>
    <mergeCell ref="G153:H153"/>
    <mergeCell ref="I153:K153"/>
    <mergeCell ref="B152:D152"/>
    <mergeCell ref="E152:F152"/>
    <mergeCell ref="G152:H152"/>
    <mergeCell ref="I152:K152"/>
    <mergeCell ref="G151:H151"/>
    <mergeCell ref="I151:K151"/>
    <mergeCell ref="O153:P153"/>
    <mergeCell ref="Q153:U153"/>
    <mergeCell ref="O151:P151"/>
    <mergeCell ref="Q151:U151"/>
    <mergeCell ref="O152:P152"/>
    <mergeCell ref="Q152:U152"/>
    <mergeCell ref="B148:D148"/>
    <mergeCell ref="E148:F148"/>
    <mergeCell ref="B151:D151"/>
    <mergeCell ref="E151:F151"/>
    <mergeCell ref="Q147:U147"/>
    <mergeCell ref="O148:P148"/>
    <mergeCell ref="Q148:U148"/>
    <mergeCell ref="I147:K147"/>
    <mergeCell ref="I148:K148"/>
    <mergeCell ref="Q150:U150"/>
    <mergeCell ref="O149:P149"/>
    <mergeCell ref="Q149:U149"/>
    <mergeCell ref="B149:D149"/>
    <mergeCell ref="E149:F149"/>
    <mergeCell ref="B150:D150"/>
    <mergeCell ref="E150:F150"/>
    <mergeCell ref="G150:H150"/>
    <mergeCell ref="I150:K150"/>
    <mergeCell ref="G149:H149"/>
    <mergeCell ref="G148:H148"/>
    <mergeCell ref="O150:P150"/>
    <mergeCell ref="E145:F145"/>
    <mergeCell ref="G145:H145"/>
    <mergeCell ref="O145:P145"/>
    <mergeCell ref="O147:P147"/>
    <mergeCell ref="I149:K149"/>
    <mergeCell ref="B147:D147"/>
    <mergeCell ref="E147:F147"/>
    <mergeCell ref="G147:H147"/>
    <mergeCell ref="I145:K145"/>
    <mergeCell ref="Q145:U145"/>
    <mergeCell ref="B146:D146"/>
    <mergeCell ref="E146:F146"/>
    <mergeCell ref="G146:H146"/>
    <mergeCell ref="I146:K146"/>
    <mergeCell ref="O146:P146"/>
    <mergeCell ref="Q146:U146"/>
    <mergeCell ref="B145:D145"/>
    <mergeCell ref="O144:P144"/>
    <mergeCell ref="Q144:U144"/>
    <mergeCell ref="B144:D144"/>
    <mergeCell ref="E144:F144"/>
    <mergeCell ref="G144:H144"/>
    <mergeCell ref="I144:K144"/>
    <mergeCell ref="O143:P143"/>
    <mergeCell ref="Q143:U143"/>
    <mergeCell ref="B142:D142"/>
    <mergeCell ref="E142:F142"/>
    <mergeCell ref="B143:D143"/>
    <mergeCell ref="E143:F143"/>
    <mergeCell ref="G143:H143"/>
    <mergeCell ref="I143:K143"/>
    <mergeCell ref="G142:H142"/>
    <mergeCell ref="I142:K142"/>
    <mergeCell ref="O140:P140"/>
    <mergeCell ref="Q140:U140"/>
    <mergeCell ref="O141:P141"/>
    <mergeCell ref="Q141:U141"/>
    <mergeCell ref="O142:P142"/>
    <mergeCell ref="Q142:U142"/>
    <mergeCell ref="B141:D141"/>
    <mergeCell ref="E141:F141"/>
    <mergeCell ref="G141:H141"/>
    <mergeCell ref="I141:K141"/>
    <mergeCell ref="B140:D140"/>
    <mergeCell ref="E140:F140"/>
    <mergeCell ref="G140:H140"/>
    <mergeCell ref="I140:K140"/>
    <mergeCell ref="O139:P139"/>
    <mergeCell ref="Q139:U139"/>
    <mergeCell ref="B138:D138"/>
    <mergeCell ref="E138:F138"/>
    <mergeCell ref="B139:D139"/>
    <mergeCell ref="E139:F139"/>
    <mergeCell ref="G139:H139"/>
    <mergeCell ref="I139:K139"/>
    <mergeCell ref="G138:H138"/>
    <mergeCell ref="I138:K138"/>
    <mergeCell ref="O136:P136"/>
    <mergeCell ref="Q136:U136"/>
    <mergeCell ref="O137:P137"/>
    <mergeCell ref="Q137:U137"/>
    <mergeCell ref="O138:P138"/>
    <mergeCell ref="Q138:U138"/>
    <mergeCell ref="B137:D137"/>
    <mergeCell ref="E137:F137"/>
    <mergeCell ref="G137:H137"/>
    <mergeCell ref="I137:K137"/>
    <mergeCell ref="B136:D136"/>
    <mergeCell ref="E136:F136"/>
    <mergeCell ref="G136:H136"/>
    <mergeCell ref="I136:K136"/>
    <mergeCell ref="O135:P135"/>
    <mergeCell ref="Q135:U135"/>
    <mergeCell ref="B134:D134"/>
    <mergeCell ref="E134:F134"/>
    <mergeCell ref="B135:D135"/>
    <mergeCell ref="E135:F135"/>
    <mergeCell ref="G135:H135"/>
    <mergeCell ref="I135:K135"/>
    <mergeCell ref="G134:H134"/>
    <mergeCell ref="I134:K134"/>
    <mergeCell ref="O132:P132"/>
    <mergeCell ref="Q132:U132"/>
    <mergeCell ref="O133:P133"/>
    <mergeCell ref="Q133:U133"/>
    <mergeCell ref="O134:P134"/>
    <mergeCell ref="Q134:U134"/>
    <mergeCell ref="B133:D133"/>
    <mergeCell ref="E133:F133"/>
    <mergeCell ref="G133:H133"/>
    <mergeCell ref="I133:K133"/>
    <mergeCell ref="B132:D132"/>
    <mergeCell ref="E132:F132"/>
    <mergeCell ref="G132:H132"/>
    <mergeCell ref="I132:K132"/>
    <mergeCell ref="O131:P131"/>
    <mergeCell ref="Q131:U131"/>
    <mergeCell ref="B130:D130"/>
    <mergeCell ref="E130:F130"/>
    <mergeCell ref="B131:D131"/>
    <mergeCell ref="E131:F131"/>
    <mergeCell ref="G131:H131"/>
    <mergeCell ref="I131:K131"/>
    <mergeCell ref="G130:H130"/>
    <mergeCell ref="I130:K130"/>
    <mergeCell ref="O128:P128"/>
    <mergeCell ref="Q128:U128"/>
    <mergeCell ref="O129:P129"/>
    <mergeCell ref="Q129:U129"/>
    <mergeCell ref="O130:P130"/>
    <mergeCell ref="Q130:U130"/>
    <mergeCell ref="B129:D129"/>
    <mergeCell ref="E129:F129"/>
    <mergeCell ref="G129:H129"/>
    <mergeCell ref="I129:K129"/>
    <mergeCell ref="B128:D128"/>
    <mergeCell ref="E128:F128"/>
    <mergeCell ref="G128:H128"/>
    <mergeCell ref="I128:K128"/>
    <mergeCell ref="O127:P127"/>
    <mergeCell ref="Q127:U127"/>
    <mergeCell ref="B126:D126"/>
    <mergeCell ref="E126:F126"/>
    <mergeCell ref="B127:D127"/>
    <mergeCell ref="E127:F127"/>
    <mergeCell ref="G127:H127"/>
    <mergeCell ref="I127:K127"/>
    <mergeCell ref="G126:H126"/>
    <mergeCell ref="I126:K126"/>
    <mergeCell ref="O124:P124"/>
    <mergeCell ref="Q124:U124"/>
    <mergeCell ref="O125:P125"/>
    <mergeCell ref="Q125:U125"/>
    <mergeCell ref="O126:P126"/>
    <mergeCell ref="Q126:U126"/>
    <mergeCell ref="B125:D125"/>
    <mergeCell ref="E125:F125"/>
    <mergeCell ref="G125:H125"/>
    <mergeCell ref="I125:K125"/>
    <mergeCell ref="B124:D124"/>
    <mergeCell ref="E124:F124"/>
    <mergeCell ref="G124:H124"/>
    <mergeCell ref="I124:K124"/>
    <mergeCell ref="O121:P121"/>
    <mergeCell ref="O122:P122"/>
    <mergeCell ref="Q122:U122"/>
    <mergeCell ref="B123:D123"/>
    <mergeCell ref="E123:F123"/>
    <mergeCell ref="G123:H123"/>
    <mergeCell ref="I123:K123"/>
    <mergeCell ref="O123:P123"/>
    <mergeCell ref="Q123:U123"/>
    <mergeCell ref="B122:D122"/>
    <mergeCell ref="E121:F121"/>
    <mergeCell ref="G121:H121"/>
    <mergeCell ref="G122:H122"/>
    <mergeCell ref="I121:K121"/>
    <mergeCell ref="E122:F122"/>
    <mergeCell ref="Q121:U121"/>
    <mergeCell ref="I122:K122"/>
    <mergeCell ref="A119:D119"/>
    <mergeCell ref="E119:F119"/>
    <mergeCell ref="G119:H119"/>
    <mergeCell ref="I119:K119"/>
    <mergeCell ref="O119:P119"/>
    <mergeCell ref="Q119:U119"/>
    <mergeCell ref="A120:U120"/>
    <mergeCell ref="B121:D121"/>
    <mergeCell ref="A117:U117"/>
    <mergeCell ref="B118:D118"/>
    <mergeCell ref="E118:F118"/>
    <mergeCell ref="G118:H118"/>
    <mergeCell ref="I118:K118"/>
    <mergeCell ref="O118:P118"/>
    <mergeCell ref="Q118:U118"/>
    <mergeCell ref="E113:F113"/>
    <mergeCell ref="O116:P116"/>
    <mergeCell ref="Q116:U116"/>
    <mergeCell ref="A116:D116"/>
    <mergeCell ref="E116:F116"/>
    <mergeCell ref="G116:H116"/>
    <mergeCell ref="I116:K116"/>
    <mergeCell ref="O113:P113"/>
    <mergeCell ref="E112:F112"/>
    <mergeCell ref="Q113:U113"/>
    <mergeCell ref="A114:U114"/>
    <mergeCell ref="B115:D115"/>
    <mergeCell ref="E115:F115"/>
    <mergeCell ref="G115:H115"/>
    <mergeCell ref="I115:K115"/>
    <mergeCell ref="O115:P115"/>
    <mergeCell ref="Q115:U115"/>
    <mergeCell ref="A113:D113"/>
    <mergeCell ref="G112:H112"/>
    <mergeCell ref="I112:K112"/>
    <mergeCell ref="O112:P112"/>
    <mergeCell ref="G113:H113"/>
    <mergeCell ref="I113:K113"/>
    <mergeCell ref="A111:U111"/>
    <mergeCell ref="O110:P110"/>
    <mergeCell ref="G110:H110"/>
    <mergeCell ref="I110:K110"/>
    <mergeCell ref="A110:D110"/>
    <mergeCell ref="Q112:U112"/>
    <mergeCell ref="B109:D109"/>
    <mergeCell ref="E109:F109"/>
    <mergeCell ref="G109:H109"/>
    <mergeCell ref="I109:K109"/>
    <mergeCell ref="O109:P109"/>
    <mergeCell ref="Q109:U109"/>
    <mergeCell ref="E110:F110"/>
    <mergeCell ref="B112:D112"/>
    <mergeCell ref="Q110:U110"/>
    <mergeCell ref="Q107:U107"/>
    <mergeCell ref="O108:P108"/>
    <mergeCell ref="Q108:U108"/>
    <mergeCell ref="B107:D107"/>
    <mergeCell ref="E107:F107"/>
    <mergeCell ref="G107:H107"/>
    <mergeCell ref="O107:P107"/>
    <mergeCell ref="I107:K107"/>
    <mergeCell ref="B108:D108"/>
    <mergeCell ref="E108:F108"/>
    <mergeCell ref="G108:H108"/>
    <mergeCell ref="I108:K108"/>
    <mergeCell ref="G106:H106"/>
    <mergeCell ref="I106:K106"/>
    <mergeCell ref="G105:H105"/>
    <mergeCell ref="I105:K105"/>
    <mergeCell ref="B105:D105"/>
    <mergeCell ref="E105:F105"/>
    <mergeCell ref="B106:D106"/>
    <mergeCell ref="E106:F106"/>
    <mergeCell ref="O106:P106"/>
    <mergeCell ref="Q106:U106"/>
    <mergeCell ref="O105:P105"/>
    <mergeCell ref="Q105:U105"/>
    <mergeCell ref="O103:P103"/>
    <mergeCell ref="Q103:U103"/>
    <mergeCell ref="O104:P104"/>
    <mergeCell ref="Q104:U104"/>
    <mergeCell ref="B104:D104"/>
    <mergeCell ref="E104:F104"/>
    <mergeCell ref="G104:H104"/>
    <mergeCell ref="I104:K104"/>
    <mergeCell ref="G102:H102"/>
    <mergeCell ref="I102:K102"/>
    <mergeCell ref="B103:D103"/>
    <mergeCell ref="E103:F103"/>
    <mergeCell ref="G103:H103"/>
    <mergeCell ref="I103:K103"/>
    <mergeCell ref="O102:P102"/>
    <mergeCell ref="Q102:U102"/>
    <mergeCell ref="B101:D101"/>
    <mergeCell ref="E101:F101"/>
    <mergeCell ref="G101:H101"/>
    <mergeCell ref="I101:K101"/>
    <mergeCell ref="O101:P101"/>
    <mergeCell ref="Q101:U101"/>
    <mergeCell ref="B102:D102"/>
    <mergeCell ref="E102:F102"/>
    <mergeCell ref="O99:P99"/>
    <mergeCell ref="Q99:U99"/>
    <mergeCell ref="O100:P100"/>
    <mergeCell ref="Q100:U100"/>
    <mergeCell ref="B100:D100"/>
    <mergeCell ref="E100:F100"/>
    <mergeCell ref="G100:H100"/>
    <mergeCell ref="I100:K100"/>
    <mergeCell ref="B99:D99"/>
    <mergeCell ref="E99:F99"/>
    <mergeCell ref="G99:H99"/>
    <mergeCell ref="I99:K99"/>
    <mergeCell ref="O97:P97"/>
    <mergeCell ref="Q97:U97"/>
    <mergeCell ref="B98:D98"/>
    <mergeCell ref="E98:F98"/>
    <mergeCell ref="G98:H98"/>
    <mergeCell ref="I98:K98"/>
    <mergeCell ref="O98:P98"/>
    <mergeCell ref="Q98:U98"/>
    <mergeCell ref="B97:D97"/>
    <mergeCell ref="Q96:U96"/>
    <mergeCell ref="I97:K97"/>
    <mergeCell ref="A95:U95"/>
    <mergeCell ref="B96:D96"/>
    <mergeCell ref="E96:F96"/>
    <mergeCell ref="G96:H96"/>
    <mergeCell ref="G97:H97"/>
    <mergeCell ref="I96:K96"/>
    <mergeCell ref="E97:F97"/>
    <mergeCell ref="O96:P96"/>
    <mergeCell ref="B92:D92"/>
    <mergeCell ref="E92:F92"/>
    <mergeCell ref="O94:P94"/>
    <mergeCell ref="Q94:U94"/>
    <mergeCell ref="A94:D94"/>
    <mergeCell ref="E94:F94"/>
    <mergeCell ref="G94:H94"/>
    <mergeCell ref="I94:K94"/>
    <mergeCell ref="G92:H92"/>
    <mergeCell ref="I92:K92"/>
    <mergeCell ref="O91:P91"/>
    <mergeCell ref="Q91:U91"/>
    <mergeCell ref="O92:P92"/>
    <mergeCell ref="Q92:U92"/>
    <mergeCell ref="G87:H87"/>
    <mergeCell ref="I87:K87"/>
    <mergeCell ref="G85:H85"/>
    <mergeCell ref="I85:K85"/>
    <mergeCell ref="G86:H86"/>
    <mergeCell ref="I86:K86"/>
    <mergeCell ref="B87:D87"/>
    <mergeCell ref="E87:F87"/>
    <mergeCell ref="B86:D86"/>
    <mergeCell ref="E86:F86"/>
    <mergeCell ref="O85:P85"/>
    <mergeCell ref="Q85:U85"/>
    <mergeCell ref="B84:D84"/>
    <mergeCell ref="E84:F84"/>
    <mergeCell ref="B85:D85"/>
    <mergeCell ref="E85:F85"/>
    <mergeCell ref="B79:D79"/>
    <mergeCell ref="E79:F79"/>
    <mergeCell ref="G79:H79"/>
    <mergeCell ref="I79:K79"/>
    <mergeCell ref="O79:P79"/>
    <mergeCell ref="Q79:U79"/>
    <mergeCell ref="O84:P84"/>
    <mergeCell ref="Q84:U84"/>
    <mergeCell ref="O81:P81"/>
    <mergeCell ref="Q81:U81"/>
    <mergeCell ref="O82:P82"/>
    <mergeCell ref="Q82:U82"/>
    <mergeCell ref="O83:P83"/>
    <mergeCell ref="Q83:U83"/>
    <mergeCell ref="O78:P78"/>
    <mergeCell ref="Q78:U78"/>
    <mergeCell ref="G78:H78"/>
    <mergeCell ref="I78:K78"/>
    <mergeCell ref="G77:H77"/>
    <mergeCell ref="I77:K77"/>
    <mergeCell ref="G84:H84"/>
    <mergeCell ref="I84:K84"/>
    <mergeCell ref="G81:H81"/>
    <mergeCell ref="I81:K81"/>
    <mergeCell ref="I82:K82"/>
    <mergeCell ref="B77:D77"/>
    <mergeCell ref="E77:F77"/>
    <mergeCell ref="B78:D78"/>
    <mergeCell ref="E78:F78"/>
    <mergeCell ref="O77:P77"/>
    <mergeCell ref="Q77:U77"/>
    <mergeCell ref="Q75:U75"/>
    <mergeCell ref="B76:D76"/>
    <mergeCell ref="E76:F76"/>
    <mergeCell ref="G76:H76"/>
    <mergeCell ref="I76:K76"/>
    <mergeCell ref="O76:P76"/>
    <mergeCell ref="Q76:U76"/>
    <mergeCell ref="B75:D75"/>
    <mergeCell ref="E75:F75"/>
    <mergeCell ref="G75:H75"/>
    <mergeCell ref="I75:K75"/>
    <mergeCell ref="O73:P73"/>
    <mergeCell ref="I73:K73"/>
    <mergeCell ref="O75:P75"/>
    <mergeCell ref="Q73:U73"/>
    <mergeCell ref="B74:D74"/>
    <mergeCell ref="E74:F74"/>
    <mergeCell ref="G74:H74"/>
    <mergeCell ref="I74:K74"/>
    <mergeCell ref="O74:P74"/>
    <mergeCell ref="Q74:U74"/>
    <mergeCell ref="B73:D73"/>
    <mergeCell ref="E73:F73"/>
    <mergeCell ref="G73:H73"/>
    <mergeCell ref="O72:P72"/>
    <mergeCell ref="Q72:U72"/>
    <mergeCell ref="B71:D71"/>
    <mergeCell ref="E71:F71"/>
    <mergeCell ref="B72:D72"/>
    <mergeCell ref="E72:F72"/>
    <mergeCell ref="G72:H72"/>
    <mergeCell ref="I72:K72"/>
    <mergeCell ref="G71:H71"/>
    <mergeCell ref="I71:K71"/>
    <mergeCell ref="O69:P69"/>
    <mergeCell ref="Q69:U69"/>
    <mergeCell ref="O70:P70"/>
    <mergeCell ref="Q70:U70"/>
    <mergeCell ref="O71:P71"/>
    <mergeCell ref="Q71:U71"/>
    <mergeCell ref="B70:D70"/>
    <mergeCell ref="E70:F70"/>
    <mergeCell ref="G70:H70"/>
    <mergeCell ref="I70:K70"/>
    <mergeCell ref="B69:D69"/>
    <mergeCell ref="E69:F69"/>
    <mergeCell ref="G69:H69"/>
    <mergeCell ref="I69:K69"/>
    <mergeCell ref="O68:P68"/>
    <mergeCell ref="Q68:U68"/>
    <mergeCell ref="B67:D67"/>
    <mergeCell ref="E67:F67"/>
    <mergeCell ref="B68:D68"/>
    <mergeCell ref="E68:F68"/>
    <mergeCell ref="G68:H68"/>
    <mergeCell ref="I68:K68"/>
    <mergeCell ref="G67:H67"/>
    <mergeCell ref="I67:K67"/>
    <mergeCell ref="O65:P65"/>
    <mergeCell ref="Q65:U65"/>
    <mergeCell ref="O66:P66"/>
    <mergeCell ref="Q66:U66"/>
    <mergeCell ref="O67:P67"/>
    <mergeCell ref="Q67:U67"/>
    <mergeCell ref="B66:D66"/>
    <mergeCell ref="E66:F66"/>
    <mergeCell ref="G66:H66"/>
    <mergeCell ref="I66:K66"/>
    <mergeCell ref="B65:D65"/>
    <mergeCell ref="E65:F65"/>
    <mergeCell ref="G65:H65"/>
    <mergeCell ref="I65:K65"/>
    <mergeCell ref="O64:P64"/>
    <mergeCell ref="Q64:U64"/>
    <mergeCell ref="B63:D63"/>
    <mergeCell ref="E63:F63"/>
    <mergeCell ref="B64:D64"/>
    <mergeCell ref="E64:F64"/>
    <mergeCell ref="G64:H64"/>
    <mergeCell ref="I64:K64"/>
    <mergeCell ref="G63:H63"/>
    <mergeCell ref="I63:K63"/>
    <mergeCell ref="O61:P61"/>
    <mergeCell ref="Q61:U61"/>
    <mergeCell ref="O62:P62"/>
    <mergeCell ref="Q62:U62"/>
    <mergeCell ref="O63:P63"/>
    <mergeCell ref="Q63:U63"/>
    <mergeCell ref="B62:D62"/>
    <mergeCell ref="E62:F62"/>
    <mergeCell ref="G62:H62"/>
    <mergeCell ref="I62:K62"/>
    <mergeCell ref="B61:D61"/>
    <mergeCell ref="E61:F61"/>
    <mergeCell ref="G61:H61"/>
    <mergeCell ref="I61:K61"/>
    <mergeCell ref="O60:P60"/>
    <mergeCell ref="Q60:U60"/>
    <mergeCell ref="B59:D59"/>
    <mergeCell ref="E59:F59"/>
    <mergeCell ref="B60:D60"/>
    <mergeCell ref="E60:F60"/>
    <mergeCell ref="G60:H60"/>
    <mergeCell ref="I60:K60"/>
    <mergeCell ref="G59:H59"/>
    <mergeCell ref="I59:K59"/>
    <mergeCell ref="B58:D58"/>
    <mergeCell ref="E58:F58"/>
    <mergeCell ref="G58:H58"/>
    <mergeCell ref="I58:K58"/>
    <mergeCell ref="G57:H57"/>
    <mergeCell ref="I57:K57"/>
    <mergeCell ref="O59:P59"/>
    <mergeCell ref="Q59:U59"/>
    <mergeCell ref="O57:P57"/>
    <mergeCell ref="Q57:U57"/>
    <mergeCell ref="O58:P58"/>
    <mergeCell ref="Q58:U58"/>
    <mergeCell ref="B54:D54"/>
    <mergeCell ref="E54:F54"/>
    <mergeCell ref="B57:D57"/>
    <mergeCell ref="E57:F57"/>
    <mergeCell ref="Q53:U53"/>
    <mergeCell ref="O54:P54"/>
    <mergeCell ref="Q54:U54"/>
    <mergeCell ref="I53:K53"/>
    <mergeCell ref="I54:K54"/>
    <mergeCell ref="Q55:U55"/>
    <mergeCell ref="B55:D55"/>
    <mergeCell ref="E55:F55"/>
    <mergeCell ref="B56:D56"/>
    <mergeCell ref="E56:F56"/>
    <mergeCell ref="G56:H56"/>
    <mergeCell ref="I56:K56"/>
    <mergeCell ref="G55:H55"/>
    <mergeCell ref="B51:D51"/>
    <mergeCell ref="O51:P51"/>
    <mergeCell ref="B53:D53"/>
    <mergeCell ref="E53:F53"/>
    <mergeCell ref="G53:H53"/>
    <mergeCell ref="I51:K51"/>
    <mergeCell ref="E51:F51"/>
    <mergeCell ref="G51:H51"/>
    <mergeCell ref="B52:D52"/>
    <mergeCell ref="E52:F52"/>
    <mergeCell ref="B50:D50"/>
    <mergeCell ref="E50:F50"/>
    <mergeCell ref="G50:H50"/>
    <mergeCell ref="I50:K50"/>
    <mergeCell ref="Q48:U48"/>
    <mergeCell ref="O48:P48"/>
    <mergeCell ref="B49:D49"/>
    <mergeCell ref="E49:F49"/>
    <mergeCell ref="G49:H49"/>
    <mergeCell ref="I49:K49"/>
    <mergeCell ref="E48:F48"/>
    <mergeCell ref="O49:P49"/>
    <mergeCell ref="Q49:U49"/>
    <mergeCell ref="G48:H48"/>
    <mergeCell ref="G46:H46"/>
    <mergeCell ref="Q47:U47"/>
    <mergeCell ref="Q46:U46"/>
    <mergeCell ref="O45:P45"/>
    <mergeCell ref="Q45:U45"/>
    <mergeCell ref="O46:P46"/>
    <mergeCell ref="I47:K47"/>
    <mergeCell ref="I46:K46"/>
    <mergeCell ref="O47:P47"/>
    <mergeCell ref="I45:K45"/>
    <mergeCell ref="O90:P90"/>
    <mergeCell ref="Q90:U90"/>
    <mergeCell ref="B91:D91"/>
    <mergeCell ref="E91:F91"/>
    <mergeCell ref="G91:H91"/>
    <mergeCell ref="I91:K91"/>
    <mergeCell ref="B90:D90"/>
    <mergeCell ref="E90:F90"/>
    <mergeCell ref="G90:H90"/>
    <mergeCell ref="I90:K90"/>
    <mergeCell ref="G89:H89"/>
    <mergeCell ref="I89:K89"/>
    <mergeCell ref="G88:H88"/>
    <mergeCell ref="I88:K88"/>
    <mergeCell ref="B88:D88"/>
    <mergeCell ref="E88:F88"/>
    <mergeCell ref="B89:D89"/>
    <mergeCell ref="E89:F89"/>
    <mergeCell ref="O89:P89"/>
    <mergeCell ref="Q89:U89"/>
    <mergeCell ref="Q50:U50"/>
    <mergeCell ref="Q51:U51"/>
    <mergeCell ref="O52:P52"/>
    <mergeCell ref="Q52:U52"/>
    <mergeCell ref="Q56:U56"/>
    <mergeCell ref="O55:P55"/>
    <mergeCell ref="Q88:U88"/>
    <mergeCell ref="O87:P87"/>
    <mergeCell ref="Q87:U87"/>
    <mergeCell ref="O86:P86"/>
    <mergeCell ref="Q86:U86"/>
    <mergeCell ref="O88:P88"/>
    <mergeCell ref="I48:K48"/>
    <mergeCell ref="O50:P50"/>
    <mergeCell ref="G54:H54"/>
    <mergeCell ref="O56:P56"/>
    <mergeCell ref="O53:P53"/>
    <mergeCell ref="I55:K55"/>
    <mergeCell ref="G52:H52"/>
    <mergeCell ref="I52:K52"/>
    <mergeCell ref="Q43:U43"/>
    <mergeCell ref="G43:H43"/>
    <mergeCell ref="I43:K43"/>
    <mergeCell ref="A43:D43"/>
    <mergeCell ref="O32:P32"/>
    <mergeCell ref="O33:P33"/>
    <mergeCell ref="O31:P31"/>
    <mergeCell ref="Q31:U31"/>
    <mergeCell ref="Q32:U32"/>
    <mergeCell ref="I33:K33"/>
    <mergeCell ref="O28:P28"/>
    <mergeCell ref="Q28:U28"/>
    <mergeCell ref="O29:P29"/>
    <mergeCell ref="Q29:U29"/>
    <mergeCell ref="I28:K28"/>
    <mergeCell ref="O30:P30"/>
    <mergeCell ref="I30:K30"/>
    <mergeCell ref="Q30:U30"/>
    <mergeCell ref="Q33:U33"/>
    <mergeCell ref="B83:D83"/>
    <mergeCell ref="E83:F83"/>
    <mergeCell ref="G83:H83"/>
    <mergeCell ref="I83:K83"/>
    <mergeCell ref="B40:D40"/>
    <mergeCell ref="E40:F40"/>
    <mergeCell ref="G40:H40"/>
    <mergeCell ref="B45:D45"/>
    <mergeCell ref="E45:F45"/>
    <mergeCell ref="G45:H45"/>
    <mergeCell ref="A44:U44"/>
    <mergeCell ref="G42:H42"/>
    <mergeCell ref="I42:K42"/>
    <mergeCell ref="O43:P43"/>
    <mergeCell ref="B41:D41"/>
    <mergeCell ref="B82:D82"/>
    <mergeCell ref="E82:F82"/>
    <mergeCell ref="G82:H82"/>
    <mergeCell ref="B48:D48"/>
    <mergeCell ref="E43:F43"/>
    <mergeCell ref="B47:D47"/>
    <mergeCell ref="E47:F47"/>
    <mergeCell ref="G47:H47"/>
    <mergeCell ref="E46:F46"/>
    <mergeCell ref="B46:D46"/>
    <mergeCell ref="B37:D37"/>
    <mergeCell ref="E37:F37"/>
    <mergeCell ref="G37:H37"/>
    <mergeCell ref="E38:F38"/>
    <mergeCell ref="B39:D39"/>
    <mergeCell ref="E39:F39"/>
    <mergeCell ref="E42:F42"/>
    <mergeCell ref="B42:D42"/>
    <mergeCell ref="B38:D38"/>
    <mergeCell ref="I37:K37"/>
    <mergeCell ref="A22:U22"/>
    <mergeCell ref="B23:D23"/>
    <mergeCell ref="E23:F23"/>
    <mergeCell ref="G23:H23"/>
    <mergeCell ref="I23:K23"/>
    <mergeCell ref="O23:P23"/>
    <mergeCell ref="Q23:U23"/>
    <mergeCell ref="E25:F25"/>
    <mergeCell ref="G25:H25"/>
    <mergeCell ref="A21:U21"/>
    <mergeCell ref="O20:P20"/>
    <mergeCell ref="Q20:U20"/>
    <mergeCell ref="A20:D20"/>
    <mergeCell ref="E20:F20"/>
    <mergeCell ref="G20:H20"/>
    <mergeCell ref="I20:K20"/>
    <mergeCell ref="A18:U18"/>
    <mergeCell ref="B19:D19"/>
    <mergeCell ref="E19:F19"/>
    <mergeCell ref="G19:H19"/>
    <mergeCell ref="I19:K19"/>
    <mergeCell ref="O19:P19"/>
    <mergeCell ref="Q19:U19"/>
    <mergeCell ref="O17:P17"/>
    <mergeCell ref="Q17:U17"/>
    <mergeCell ref="B17:D17"/>
    <mergeCell ref="E17:F17"/>
    <mergeCell ref="G17:H17"/>
    <mergeCell ref="I17:K17"/>
    <mergeCell ref="A15:U15"/>
    <mergeCell ref="A16:U16"/>
    <mergeCell ref="A14:D14"/>
    <mergeCell ref="E14:F14"/>
    <mergeCell ref="G14:H14"/>
    <mergeCell ref="I14:K14"/>
    <mergeCell ref="I12:K12"/>
    <mergeCell ref="O12:P12"/>
    <mergeCell ref="Q12:U12"/>
    <mergeCell ref="O14:P14"/>
    <mergeCell ref="Q14:U14"/>
    <mergeCell ref="O13:P13"/>
    <mergeCell ref="Q13:U13"/>
    <mergeCell ref="I11:K11"/>
    <mergeCell ref="G10:H10"/>
    <mergeCell ref="I10:K10"/>
    <mergeCell ref="B13:D13"/>
    <mergeCell ref="E13:F13"/>
    <mergeCell ref="G13:H13"/>
    <mergeCell ref="I13:K13"/>
    <mergeCell ref="B12:D12"/>
    <mergeCell ref="E12:F12"/>
    <mergeCell ref="G12:H12"/>
    <mergeCell ref="I7:K7"/>
    <mergeCell ref="A8:U8"/>
    <mergeCell ref="A9:U9"/>
    <mergeCell ref="O11:P11"/>
    <mergeCell ref="Q11:U11"/>
    <mergeCell ref="B10:D10"/>
    <mergeCell ref="E10:F10"/>
    <mergeCell ref="B11:D11"/>
    <mergeCell ref="E11:F11"/>
    <mergeCell ref="G11:H11"/>
    <mergeCell ref="A6:D6"/>
    <mergeCell ref="E6:F6"/>
    <mergeCell ref="A7:D7"/>
    <mergeCell ref="E7:F7"/>
    <mergeCell ref="A2:B2"/>
    <mergeCell ref="A3:U3"/>
    <mergeCell ref="A4:U4"/>
    <mergeCell ref="B5:D5"/>
    <mergeCell ref="E5:F5"/>
    <mergeCell ref="G5:H5"/>
    <mergeCell ref="I5:K5"/>
    <mergeCell ref="O5:P5"/>
    <mergeCell ref="Q5:U5"/>
    <mergeCell ref="B1:D1"/>
    <mergeCell ref="E1:F1"/>
    <mergeCell ref="G1:H1"/>
    <mergeCell ref="I1:K1"/>
    <mergeCell ref="Q24:U24"/>
    <mergeCell ref="O1:P1"/>
    <mergeCell ref="Q1:U1"/>
    <mergeCell ref="G6:H6"/>
    <mergeCell ref="I6:K6"/>
    <mergeCell ref="O6:P6"/>
    <mergeCell ref="Q6:U6"/>
    <mergeCell ref="O10:P10"/>
    <mergeCell ref="Q10:U10"/>
    <mergeCell ref="G7:H7"/>
    <mergeCell ref="I35:K35"/>
    <mergeCell ref="O7:P7"/>
    <mergeCell ref="Q7:U7"/>
    <mergeCell ref="B27:D27"/>
    <mergeCell ref="E27:F27"/>
    <mergeCell ref="G27:H27"/>
    <mergeCell ref="B26:D26"/>
    <mergeCell ref="I27:K27"/>
    <mergeCell ref="B24:D24"/>
    <mergeCell ref="O24:P24"/>
    <mergeCell ref="Q27:U27"/>
    <mergeCell ref="E26:F26"/>
    <mergeCell ref="G26:H26"/>
    <mergeCell ref="I26:K26"/>
    <mergeCell ref="O26:P26"/>
    <mergeCell ref="Q26:U26"/>
    <mergeCell ref="O27:P27"/>
    <mergeCell ref="O25:P25"/>
    <mergeCell ref="I25:K25"/>
    <mergeCell ref="Q25:U25"/>
    <mergeCell ref="B25:D25"/>
    <mergeCell ref="I29:K29"/>
    <mergeCell ref="E24:F24"/>
    <mergeCell ref="G24:H24"/>
    <mergeCell ref="I24:K24"/>
    <mergeCell ref="B28:D28"/>
    <mergeCell ref="E28:F28"/>
    <mergeCell ref="G28:H28"/>
    <mergeCell ref="B30:D30"/>
    <mergeCell ref="E30:F30"/>
    <mergeCell ref="G30:H30"/>
    <mergeCell ref="B29:D29"/>
    <mergeCell ref="E29:F29"/>
    <mergeCell ref="G29:H29"/>
    <mergeCell ref="B31:D31"/>
    <mergeCell ref="E31:F31"/>
    <mergeCell ref="G31:H31"/>
    <mergeCell ref="I31:K31"/>
    <mergeCell ref="B32:D32"/>
    <mergeCell ref="E32:F32"/>
    <mergeCell ref="G32:H32"/>
    <mergeCell ref="I32:K32"/>
    <mergeCell ref="E36:F36"/>
    <mergeCell ref="G36:H36"/>
    <mergeCell ref="B33:D33"/>
    <mergeCell ref="E33:F33"/>
    <mergeCell ref="G33:H33"/>
    <mergeCell ref="B35:D35"/>
    <mergeCell ref="E35:F35"/>
    <mergeCell ref="G35:H35"/>
    <mergeCell ref="I36:K36"/>
    <mergeCell ref="I34:K34"/>
    <mergeCell ref="B93:D93"/>
    <mergeCell ref="E93:F93"/>
    <mergeCell ref="G93:H93"/>
    <mergeCell ref="I93:K93"/>
    <mergeCell ref="B34:D34"/>
    <mergeCell ref="E34:F34"/>
    <mergeCell ref="G34:H34"/>
    <mergeCell ref="B36:D36"/>
    <mergeCell ref="O93:P93"/>
    <mergeCell ref="Q93:U93"/>
    <mergeCell ref="B80:D80"/>
    <mergeCell ref="E80:F80"/>
    <mergeCell ref="G80:H80"/>
    <mergeCell ref="I80:K80"/>
    <mergeCell ref="O80:P80"/>
    <mergeCell ref="Q80:U80"/>
    <mergeCell ref="B81:D81"/>
    <mergeCell ref="E81:F81"/>
  </mergeCells>
  <printOptions/>
  <pageMargins left="1.1" right="0.16" top="1.01" bottom="0.8" header="0.46" footer="0.4921259845"/>
  <pageSetup firstPageNumber="6" useFirstPageNumber="1" horizontalDpi="600" verticalDpi="600" orientation="portrait" paperSize="9" scale="70" r:id="rId1"/>
  <headerFooter alignWithMargins="0">
    <oddHeader>&amp;L&amp;"Arial,Tučné"v tis. Kč&amp;C&amp;"Arial,Tučné"&amp;12Schválený rozpočet rok 2013 -  rozpis neinvestičních příspěvků a grantů&amp;RPříloha č. 4</oddHeader>
    <oddFooter>&amp;C&amp;P</oddFooter>
  </headerFooter>
  <rowBreaks count="2" manualBreakCount="2">
    <brk id="43" max="21" man="1"/>
    <brk id="319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00390625" style="62" customWidth="1"/>
    <col min="2" max="2" width="51.140625" style="62" customWidth="1"/>
    <col min="3" max="3" width="8.7109375" style="62" hidden="1" customWidth="1"/>
    <col min="4" max="4" width="7.57421875" style="62" hidden="1" customWidth="1"/>
    <col min="5" max="5" width="8.28125" style="62" hidden="1" customWidth="1"/>
    <col min="6" max="6" width="5.8515625" style="62" hidden="1" customWidth="1"/>
    <col min="7" max="7" width="11.57421875" style="62" hidden="1" customWidth="1"/>
    <col min="8" max="8" width="11.28125" style="62" hidden="1" customWidth="1"/>
    <col min="9" max="9" width="16.57421875" style="62" customWidth="1"/>
    <col min="10" max="10" width="1.28515625" style="62" hidden="1" customWidth="1"/>
    <col min="11" max="16384" width="9.140625" style="62" customWidth="1"/>
  </cols>
  <sheetData>
    <row r="1" spans="1:10" ht="38.25" customHeight="1">
      <c r="A1" s="60"/>
      <c r="B1" s="218" t="s">
        <v>599</v>
      </c>
      <c r="C1" s="343" t="s">
        <v>600</v>
      </c>
      <c r="D1" s="343"/>
      <c r="E1" s="343" t="s">
        <v>161</v>
      </c>
      <c r="F1" s="343"/>
      <c r="G1" s="61" t="s">
        <v>601</v>
      </c>
      <c r="H1" s="61" t="s">
        <v>71</v>
      </c>
      <c r="I1" s="342" t="s">
        <v>460</v>
      </c>
      <c r="J1" s="342"/>
    </row>
    <row r="2" spans="1:10" ht="24.75" customHeight="1">
      <c r="A2" s="60"/>
      <c r="B2" s="64" t="s">
        <v>378</v>
      </c>
      <c r="C2" s="341">
        <v>14000</v>
      </c>
      <c r="D2" s="341"/>
      <c r="E2" s="341">
        <v>14000</v>
      </c>
      <c r="F2" s="341"/>
      <c r="G2" s="63">
        <v>14000</v>
      </c>
      <c r="H2" s="63"/>
      <c r="I2" s="63">
        <f>G2+H2</f>
        <v>14000</v>
      </c>
      <c r="J2" s="220"/>
    </row>
    <row r="3" spans="1:10" ht="24.75" customHeight="1">
      <c r="A3" s="60"/>
      <c r="B3" s="64" t="s">
        <v>602</v>
      </c>
      <c r="C3" s="341">
        <v>18715</v>
      </c>
      <c r="D3" s="341"/>
      <c r="E3" s="341">
        <v>18715</v>
      </c>
      <c r="F3" s="341"/>
      <c r="G3" s="63">
        <v>18000</v>
      </c>
      <c r="H3" s="63"/>
      <c r="I3" s="63">
        <f>G3+H3</f>
        <v>18000</v>
      </c>
      <c r="J3" s="220"/>
    </row>
    <row r="4" spans="1:10" ht="24.75" customHeight="1">
      <c r="A4" s="60"/>
      <c r="B4" s="64" t="s">
        <v>603</v>
      </c>
      <c r="C4" s="341">
        <v>1300</v>
      </c>
      <c r="D4" s="341"/>
      <c r="E4" s="341">
        <v>1300</v>
      </c>
      <c r="F4" s="341"/>
      <c r="G4" s="63">
        <v>2000</v>
      </c>
      <c r="H4" s="63"/>
      <c r="I4" s="63">
        <v>1300</v>
      </c>
      <c r="J4" s="220"/>
    </row>
    <row r="5" spans="1:10" ht="24.75" customHeight="1">
      <c r="A5" s="60"/>
      <c r="B5" s="64" t="s">
        <v>604</v>
      </c>
      <c r="C5" s="341">
        <v>47200</v>
      </c>
      <c r="D5" s="341"/>
      <c r="E5" s="341">
        <v>47200</v>
      </c>
      <c r="F5" s="341"/>
      <c r="G5" s="63">
        <v>43000</v>
      </c>
      <c r="H5" s="63"/>
      <c r="I5" s="63">
        <f>G5+H5</f>
        <v>43000</v>
      </c>
      <c r="J5" s="220"/>
    </row>
    <row r="6" spans="1:10" ht="24.75" customHeight="1">
      <c r="A6" s="60"/>
      <c r="B6" s="65" t="s">
        <v>605</v>
      </c>
      <c r="C6" s="344">
        <f>C2+C3+C4+C5</f>
        <v>81215</v>
      </c>
      <c r="D6" s="344"/>
      <c r="E6" s="344">
        <f>E2+E3+E4+E5</f>
        <v>81215</v>
      </c>
      <c r="F6" s="344"/>
      <c r="G6" s="66">
        <f>G2+G3+G4+G5</f>
        <v>77000</v>
      </c>
      <c r="H6" s="66"/>
      <c r="I6" s="66">
        <f>I2+I4+I5+I3</f>
        <v>76300</v>
      </c>
      <c r="J6" s="220"/>
    </row>
  </sheetData>
  <sheetProtection/>
  <mergeCells count="13">
    <mergeCell ref="C6:D6"/>
    <mergeCell ref="E6:F6"/>
    <mergeCell ref="C4:D4"/>
    <mergeCell ref="E4:F4"/>
    <mergeCell ref="C5:D5"/>
    <mergeCell ref="E5:F5"/>
    <mergeCell ref="C2:D2"/>
    <mergeCell ref="E2:F2"/>
    <mergeCell ref="I1:J1"/>
    <mergeCell ref="C3:D3"/>
    <mergeCell ref="E3:F3"/>
    <mergeCell ref="C1:D1"/>
    <mergeCell ref="E1:F1"/>
  </mergeCells>
  <printOptions/>
  <pageMargins left="1.95" right="0.23" top="1.46" bottom="1" header="0.75" footer="0.5"/>
  <pageSetup firstPageNumber="9" useFirstPageNumber="1" horizontalDpi="300" verticalDpi="300" orientation="portrait" pageOrder="overThenDown" paperSize="9" scale="75" r:id="rId1"/>
  <headerFooter alignWithMargins="0">
    <oddHeader>&amp;L&amp;"Arial,Tučné"v tis. Kč&amp;C&amp;"Arial,Tučné"&amp;12Schválený rozpočet rok 2013 - sportovní zařízení&amp;RPříloha č. 4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A16">
      <selection activeCell="Y9" sqref="Y9"/>
    </sheetView>
  </sheetViews>
  <sheetFormatPr defaultColWidth="9.140625" defaultRowHeight="12.75"/>
  <cols>
    <col min="4" max="4" width="26.8515625" style="0" customWidth="1"/>
    <col min="5" max="5" width="0" style="129" hidden="1" customWidth="1"/>
    <col min="6" max="6" width="1.7109375" style="129" hidden="1" customWidth="1"/>
    <col min="7" max="7" width="11.140625" style="129" hidden="1" customWidth="1"/>
    <col min="8" max="8" width="9.140625" style="129" hidden="1" customWidth="1"/>
    <col min="9" max="9" width="11.140625" style="129" hidden="1" customWidth="1"/>
    <col min="10" max="10" width="9.140625" style="129" hidden="1" customWidth="1"/>
    <col min="11" max="11" width="0.13671875" style="129" hidden="1" customWidth="1"/>
    <col min="12" max="12" width="12.28125" style="129" hidden="1" customWidth="1"/>
    <col min="13" max="13" width="10.8515625" style="129" hidden="1" customWidth="1"/>
    <col min="14" max="14" width="11.140625" style="129" hidden="1" customWidth="1"/>
    <col min="15" max="15" width="9.140625" style="0" hidden="1" customWidth="1"/>
    <col min="16" max="16" width="0" style="0" hidden="1" customWidth="1"/>
    <col min="17" max="17" width="12.7109375" style="0" customWidth="1"/>
  </cols>
  <sheetData>
    <row r="1" spans="1:22" ht="49.5" customHeight="1" thickBot="1">
      <c r="A1" s="261" t="s">
        <v>181</v>
      </c>
      <c r="B1" s="357" t="s">
        <v>182</v>
      </c>
      <c r="C1" s="357"/>
      <c r="D1" s="357"/>
      <c r="E1" s="358" t="s">
        <v>207</v>
      </c>
      <c r="F1" s="358"/>
      <c r="G1" s="358" t="s">
        <v>212</v>
      </c>
      <c r="H1" s="358"/>
      <c r="I1" s="358" t="s">
        <v>70</v>
      </c>
      <c r="J1" s="358"/>
      <c r="K1" s="358"/>
      <c r="L1" s="262" t="s">
        <v>31</v>
      </c>
      <c r="M1" s="262" t="s">
        <v>71</v>
      </c>
      <c r="N1" s="357" t="s">
        <v>171</v>
      </c>
      <c r="O1" s="357"/>
      <c r="P1" s="262" t="s">
        <v>294</v>
      </c>
      <c r="Q1" s="262" t="s">
        <v>460</v>
      </c>
      <c r="R1" s="357" t="s">
        <v>368</v>
      </c>
      <c r="S1" s="357"/>
      <c r="T1" s="357"/>
      <c r="U1" s="357"/>
      <c r="V1" s="357"/>
    </row>
    <row r="2" spans="1:22" s="2" customFormat="1" ht="19.5" customHeight="1">
      <c r="A2" s="356" t="s">
        <v>183</v>
      </c>
      <c r="B2" s="356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"/>
      <c r="P2" s="1"/>
      <c r="Q2" s="1"/>
      <c r="R2" s="1"/>
      <c r="S2" s="1"/>
      <c r="T2" s="1"/>
      <c r="U2" s="1"/>
      <c r="V2" s="1"/>
    </row>
    <row r="3" spans="1:28" s="2" customFormat="1" ht="19.5" customHeight="1">
      <c r="A3" s="351" t="s">
        <v>32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AB3" s="260"/>
    </row>
    <row r="4" spans="1:22" s="2" customFormat="1" ht="19.5" customHeight="1">
      <c r="A4" s="352" t="s">
        <v>33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s="2" customFormat="1" ht="26.25" customHeight="1">
      <c r="A5" s="3" t="s">
        <v>180</v>
      </c>
      <c r="B5" s="353" t="s">
        <v>34</v>
      </c>
      <c r="C5" s="353"/>
      <c r="D5" s="353"/>
      <c r="E5" s="354" t="s">
        <v>197</v>
      </c>
      <c r="F5" s="354"/>
      <c r="G5" s="354" t="s">
        <v>197</v>
      </c>
      <c r="H5" s="354"/>
      <c r="I5" s="354" t="s">
        <v>197</v>
      </c>
      <c r="J5" s="354"/>
      <c r="K5" s="354"/>
      <c r="L5" s="67" t="s">
        <v>197</v>
      </c>
      <c r="M5" s="67"/>
      <c r="N5" s="353">
        <f>L5+M5</f>
        <v>250</v>
      </c>
      <c r="O5" s="353"/>
      <c r="P5" s="145"/>
      <c r="Q5" s="203">
        <f>N5+P5</f>
        <v>250</v>
      </c>
      <c r="R5" s="355" t="s">
        <v>35</v>
      </c>
      <c r="S5" s="355"/>
      <c r="T5" s="355"/>
      <c r="U5" s="355"/>
      <c r="V5" s="355"/>
    </row>
    <row r="6" spans="1:22" s="2" customFormat="1" ht="79.5" customHeight="1">
      <c r="A6" s="3" t="s">
        <v>180</v>
      </c>
      <c r="B6" s="353" t="s">
        <v>36</v>
      </c>
      <c r="C6" s="353"/>
      <c r="D6" s="353"/>
      <c r="E6" s="354">
        <v>2500</v>
      </c>
      <c r="F6" s="354"/>
      <c r="G6" s="354">
        <v>2500</v>
      </c>
      <c r="H6" s="354"/>
      <c r="I6" s="354">
        <v>1500</v>
      </c>
      <c r="J6" s="354"/>
      <c r="K6" s="354"/>
      <c r="L6" s="67">
        <v>2000</v>
      </c>
      <c r="M6" s="67"/>
      <c r="N6" s="353">
        <f>2000+M6</f>
        <v>2000</v>
      </c>
      <c r="O6" s="353"/>
      <c r="P6" s="145"/>
      <c r="Q6" s="203">
        <f>N6+P6</f>
        <v>2000</v>
      </c>
      <c r="R6" s="355" t="s">
        <v>120</v>
      </c>
      <c r="S6" s="355"/>
      <c r="T6" s="355"/>
      <c r="U6" s="355"/>
      <c r="V6" s="355"/>
    </row>
    <row r="7" spans="1:22" s="2" customFormat="1" ht="28.5" customHeight="1">
      <c r="A7" s="3" t="s">
        <v>180</v>
      </c>
      <c r="B7" s="353" t="s">
        <v>121</v>
      </c>
      <c r="C7" s="353"/>
      <c r="D7" s="353"/>
      <c r="E7" s="354" t="s">
        <v>204</v>
      </c>
      <c r="F7" s="354"/>
      <c r="G7" s="354" t="s">
        <v>204</v>
      </c>
      <c r="H7" s="354"/>
      <c r="I7" s="354" t="s">
        <v>122</v>
      </c>
      <c r="J7" s="354"/>
      <c r="K7" s="354"/>
      <c r="L7" s="67" t="s">
        <v>204</v>
      </c>
      <c r="M7" s="67"/>
      <c r="N7" s="353">
        <f>L7+M7</f>
        <v>402</v>
      </c>
      <c r="O7" s="353"/>
      <c r="P7" s="145"/>
      <c r="Q7" s="203">
        <f>N7+P7</f>
        <v>402</v>
      </c>
      <c r="R7" s="355" t="s">
        <v>123</v>
      </c>
      <c r="S7" s="355"/>
      <c r="T7" s="355"/>
      <c r="U7" s="355"/>
      <c r="V7" s="355"/>
    </row>
    <row r="8" spans="1:22" s="2" customFormat="1" ht="19.5" customHeight="1">
      <c r="A8" s="352" t="s">
        <v>190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2"/>
      <c r="V8" s="352"/>
    </row>
    <row r="9" spans="1:22" s="2" customFormat="1" ht="40.5" customHeight="1">
      <c r="A9" s="3" t="s">
        <v>180</v>
      </c>
      <c r="B9" s="353" t="s">
        <v>36</v>
      </c>
      <c r="C9" s="353"/>
      <c r="D9" s="353"/>
      <c r="E9" s="354" t="s">
        <v>23</v>
      </c>
      <c r="F9" s="354"/>
      <c r="G9" s="354" t="s">
        <v>23</v>
      </c>
      <c r="H9" s="354"/>
      <c r="I9" s="354" t="s">
        <v>125</v>
      </c>
      <c r="J9" s="354"/>
      <c r="K9" s="354"/>
      <c r="L9" s="67" t="s">
        <v>23</v>
      </c>
      <c r="M9" s="67"/>
      <c r="N9" s="353">
        <f>L9+M9</f>
        <v>7</v>
      </c>
      <c r="O9" s="353"/>
      <c r="P9" s="145"/>
      <c r="Q9" s="204">
        <f>N9+P9</f>
        <v>7</v>
      </c>
      <c r="R9" s="355" t="s">
        <v>126</v>
      </c>
      <c r="S9" s="355"/>
      <c r="T9" s="355"/>
      <c r="U9" s="355"/>
      <c r="V9" s="355"/>
    </row>
    <row r="10" spans="1:22" s="2" customFormat="1" ht="19.5" customHeight="1">
      <c r="A10" s="345" t="s">
        <v>127</v>
      </c>
      <c r="B10" s="345"/>
      <c r="C10" s="345"/>
      <c r="D10" s="345"/>
      <c r="E10" s="350">
        <v>3159</v>
      </c>
      <c r="F10" s="350"/>
      <c r="G10" s="350">
        <v>3159</v>
      </c>
      <c r="H10" s="350"/>
      <c r="I10" s="350">
        <v>2157</v>
      </c>
      <c r="J10" s="350"/>
      <c r="K10" s="350"/>
      <c r="L10" s="69">
        <v>2659</v>
      </c>
      <c r="M10" s="69"/>
      <c r="N10" s="347">
        <f>2659+M10</f>
        <v>2659</v>
      </c>
      <c r="O10" s="347"/>
      <c r="P10" s="147" t="e">
        <f>#REF!</f>
        <v>#REF!</v>
      </c>
      <c r="Q10" s="205">
        <f>Q5+Q6+Q7+Q9</f>
        <v>2659</v>
      </c>
      <c r="R10" s="348" t="s">
        <v>180</v>
      </c>
      <c r="S10" s="348"/>
      <c r="T10" s="348"/>
      <c r="U10" s="348"/>
      <c r="V10" s="348"/>
    </row>
    <row r="11" spans="1:22" s="2" customFormat="1" ht="19.5" customHeight="1">
      <c r="A11" s="351" t="s">
        <v>81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</row>
    <row r="12" spans="1:22" s="2" customFormat="1" ht="19.5" customHeight="1">
      <c r="A12" s="352" t="s">
        <v>10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</row>
    <row r="13" spans="1:22" s="2" customFormat="1" ht="28.5" customHeight="1">
      <c r="A13" s="3" t="s">
        <v>180</v>
      </c>
      <c r="B13" s="353" t="s">
        <v>36</v>
      </c>
      <c r="C13" s="353"/>
      <c r="D13" s="353"/>
      <c r="E13" s="354" t="s">
        <v>196</v>
      </c>
      <c r="F13" s="354"/>
      <c r="G13" s="354" t="s">
        <v>196</v>
      </c>
      <c r="H13" s="354"/>
      <c r="I13" s="354" t="s">
        <v>196</v>
      </c>
      <c r="J13" s="354"/>
      <c r="K13" s="354"/>
      <c r="L13" s="67" t="s">
        <v>196</v>
      </c>
      <c r="M13" s="67"/>
      <c r="N13" s="353">
        <f>L13+M13</f>
        <v>30</v>
      </c>
      <c r="O13" s="353"/>
      <c r="P13" s="145"/>
      <c r="Q13" s="204">
        <f>N13+P13</f>
        <v>30</v>
      </c>
      <c r="R13" s="355" t="s">
        <v>128</v>
      </c>
      <c r="S13" s="355"/>
      <c r="T13" s="355"/>
      <c r="U13" s="355"/>
      <c r="V13" s="355"/>
    </row>
    <row r="14" spans="1:22" s="2" customFormat="1" ht="19.5" customHeight="1">
      <c r="A14" s="345" t="s">
        <v>93</v>
      </c>
      <c r="B14" s="345"/>
      <c r="C14" s="345"/>
      <c r="D14" s="345"/>
      <c r="E14" s="350" t="s">
        <v>196</v>
      </c>
      <c r="F14" s="350"/>
      <c r="G14" s="350" t="s">
        <v>196</v>
      </c>
      <c r="H14" s="350"/>
      <c r="I14" s="350" t="s">
        <v>196</v>
      </c>
      <c r="J14" s="350"/>
      <c r="K14" s="350"/>
      <c r="L14" s="69" t="s">
        <v>196</v>
      </c>
      <c r="M14" s="69" t="e">
        <f>#REF!</f>
        <v>#REF!</v>
      </c>
      <c r="N14" s="347" t="e">
        <f>#REF!</f>
        <v>#REF!</v>
      </c>
      <c r="O14" s="347"/>
      <c r="P14" s="147" t="e">
        <f>#REF!</f>
        <v>#REF!</v>
      </c>
      <c r="Q14" s="209">
        <f>Q13</f>
        <v>30</v>
      </c>
      <c r="R14" s="348" t="s">
        <v>180</v>
      </c>
      <c r="S14" s="348"/>
      <c r="T14" s="348"/>
      <c r="U14" s="348"/>
      <c r="V14" s="348"/>
    </row>
    <row r="15" spans="1:22" s="2" customFormat="1" ht="19.5" customHeight="1">
      <c r="A15" s="351" t="s">
        <v>129</v>
      </c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</row>
    <row r="16" spans="1:22" s="2" customFormat="1" ht="19.5" customHeight="1">
      <c r="A16" s="352" t="s">
        <v>130</v>
      </c>
      <c r="B16" s="352"/>
      <c r="C16" s="352"/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352"/>
      <c r="V16" s="352"/>
    </row>
    <row r="17" spans="1:22" s="2" customFormat="1" ht="27.75" customHeight="1">
      <c r="A17" s="3" t="s">
        <v>180</v>
      </c>
      <c r="B17" s="353" t="s">
        <v>36</v>
      </c>
      <c r="C17" s="353"/>
      <c r="D17" s="353"/>
      <c r="E17" s="354" t="s">
        <v>191</v>
      </c>
      <c r="F17" s="354"/>
      <c r="G17" s="354" t="s">
        <v>191</v>
      </c>
      <c r="H17" s="354"/>
      <c r="I17" s="354" t="s">
        <v>191</v>
      </c>
      <c r="J17" s="354"/>
      <c r="K17" s="354"/>
      <c r="L17" s="67" t="s">
        <v>125</v>
      </c>
      <c r="M17" s="67"/>
      <c r="N17" s="353">
        <f>L17+M17</f>
        <v>6</v>
      </c>
      <c r="O17" s="353"/>
      <c r="P17" s="145"/>
      <c r="Q17" s="204">
        <f>N17+P17</f>
        <v>6</v>
      </c>
      <c r="R17" s="355" t="s">
        <v>131</v>
      </c>
      <c r="S17" s="355"/>
      <c r="T17" s="355"/>
      <c r="U17" s="355"/>
      <c r="V17" s="355"/>
    </row>
    <row r="18" spans="1:22" s="2" customFormat="1" ht="19.5" customHeight="1">
      <c r="A18" s="352" t="s">
        <v>133</v>
      </c>
      <c r="B18" s="352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</row>
    <row r="19" spans="1:22" s="2" customFormat="1" ht="25.5" customHeight="1">
      <c r="A19" s="3" t="s">
        <v>180</v>
      </c>
      <c r="B19" s="353" t="s">
        <v>36</v>
      </c>
      <c r="C19" s="353"/>
      <c r="D19" s="353"/>
      <c r="E19" s="354" t="s">
        <v>134</v>
      </c>
      <c r="F19" s="354"/>
      <c r="G19" s="354" t="s">
        <v>134</v>
      </c>
      <c r="H19" s="354"/>
      <c r="I19" s="354" t="s">
        <v>135</v>
      </c>
      <c r="J19" s="354"/>
      <c r="K19" s="354"/>
      <c r="L19" s="67" t="s">
        <v>134</v>
      </c>
      <c r="M19" s="67"/>
      <c r="N19" s="353">
        <f>L19+M19</f>
        <v>302</v>
      </c>
      <c r="O19" s="353"/>
      <c r="P19" s="145"/>
      <c r="Q19" s="204">
        <f>N19+P19</f>
        <v>302</v>
      </c>
      <c r="R19" s="355" t="s">
        <v>136</v>
      </c>
      <c r="S19" s="355"/>
      <c r="T19" s="355"/>
      <c r="U19" s="355"/>
      <c r="V19" s="355"/>
    </row>
    <row r="20" spans="1:22" s="2" customFormat="1" ht="19.5" customHeight="1">
      <c r="A20" s="352" t="s">
        <v>137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</row>
    <row r="21" spans="1:22" s="2" customFormat="1" ht="26.25" customHeight="1">
      <c r="A21" s="3" t="s">
        <v>180</v>
      </c>
      <c r="B21" s="353" t="s">
        <v>36</v>
      </c>
      <c r="C21" s="353"/>
      <c r="D21" s="353"/>
      <c r="E21" s="354" t="s">
        <v>260</v>
      </c>
      <c r="F21" s="354"/>
      <c r="G21" s="354" t="s">
        <v>260</v>
      </c>
      <c r="H21" s="354"/>
      <c r="I21" s="354" t="s">
        <v>138</v>
      </c>
      <c r="J21" s="354"/>
      <c r="K21" s="354"/>
      <c r="L21" s="67" t="s">
        <v>260</v>
      </c>
      <c r="M21" s="67"/>
      <c r="N21" s="353">
        <f>L21+M21</f>
        <v>50</v>
      </c>
      <c r="O21" s="353"/>
      <c r="P21" s="145"/>
      <c r="Q21" s="204">
        <f>N21+P21</f>
        <v>50</v>
      </c>
      <c r="R21" s="355" t="s">
        <v>139</v>
      </c>
      <c r="S21" s="355"/>
      <c r="T21" s="355"/>
      <c r="U21" s="355"/>
      <c r="V21" s="355"/>
    </row>
    <row r="22" spans="1:22" s="2" customFormat="1" ht="19.5" customHeight="1">
      <c r="A22" s="352" t="s">
        <v>190</v>
      </c>
      <c r="B22" s="352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</row>
    <row r="23" spans="1:22" s="2" customFormat="1" ht="26.25" customHeight="1">
      <c r="A23" s="3" t="s">
        <v>180</v>
      </c>
      <c r="B23" s="353" t="s">
        <v>36</v>
      </c>
      <c r="C23" s="353"/>
      <c r="D23" s="353"/>
      <c r="E23" s="354" t="s">
        <v>140</v>
      </c>
      <c r="F23" s="354"/>
      <c r="G23" s="354" t="s">
        <v>140</v>
      </c>
      <c r="H23" s="354"/>
      <c r="I23" s="354" t="s">
        <v>30</v>
      </c>
      <c r="J23" s="354"/>
      <c r="K23" s="354"/>
      <c r="L23" s="67" t="s">
        <v>140</v>
      </c>
      <c r="M23" s="67"/>
      <c r="N23" s="353">
        <f>L23+M23</f>
        <v>103</v>
      </c>
      <c r="O23" s="353"/>
      <c r="P23" s="145"/>
      <c r="Q23" s="204">
        <f>N23+P23</f>
        <v>103</v>
      </c>
      <c r="R23" s="355" t="s">
        <v>141</v>
      </c>
      <c r="S23" s="355"/>
      <c r="T23" s="355"/>
      <c r="U23" s="355"/>
      <c r="V23" s="355"/>
    </row>
    <row r="24" spans="1:22" s="2" customFormat="1" ht="26.25" customHeight="1">
      <c r="A24" s="3" t="s">
        <v>180</v>
      </c>
      <c r="B24" s="353" t="s">
        <v>36</v>
      </c>
      <c r="C24" s="353"/>
      <c r="D24" s="353"/>
      <c r="E24" s="354" t="s">
        <v>184</v>
      </c>
      <c r="F24" s="354"/>
      <c r="G24" s="354" t="s">
        <v>184</v>
      </c>
      <c r="H24" s="354"/>
      <c r="I24" s="354" t="s">
        <v>184</v>
      </c>
      <c r="J24" s="354"/>
      <c r="K24" s="354"/>
      <c r="L24" s="67" t="s">
        <v>184</v>
      </c>
      <c r="M24" s="67"/>
      <c r="N24" s="353">
        <f>L24+M24</f>
        <v>150</v>
      </c>
      <c r="O24" s="353"/>
      <c r="P24" s="145"/>
      <c r="Q24" s="204">
        <f>N24+P24</f>
        <v>150</v>
      </c>
      <c r="R24" s="355" t="s">
        <v>142</v>
      </c>
      <c r="S24" s="355"/>
      <c r="T24" s="355"/>
      <c r="U24" s="355"/>
      <c r="V24" s="355"/>
    </row>
    <row r="25" spans="1:22" s="2" customFormat="1" ht="27" customHeight="1">
      <c r="A25" s="3" t="s">
        <v>180</v>
      </c>
      <c r="B25" s="353" t="s">
        <v>36</v>
      </c>
      <c r="C25" s="353"/>
      <c r="D25" s="353"/>
      <c r="E25" s="354" t="s">
        <v>143</v>
      </c>
      <c r="F25" s="354"/>
      <c r="G25" s="354" t="s">
        <v>143</v>
      </c>
      <c r="H25" s="354"/>
      <c r="I25" s="354" t="s">
        <v>144</v>
      </c>
      <c r="J25" s="354"/>
      <c r="K25" s="354"/>
      <c r="L25" s="67" t="s">
        <v>143</v>
      </c>
      <c r="M25" s="67"/>
      <c r="N25" s="353">
        <f>L25+M25</f>
        <v>191</v>
      </c>
      <c r="O25" s="353"/>
      <c r="P25" s="145"/>
      <c r="Q25" s="204">
        <f>N25+P25</f>
        <v>191</v>
      </c>
      <c r="R25" s="355" t="s">
        <v>145</v>
      </c>
      <c r="S25" s="355"/>
      <c r="T25" s="355"/>
      <c r="U25" s="355"/>
      <c r="V25" s="355"/>
    </row>
    <row r="26" spans="1:22" s="2" customFormat="1" ht="19.5" customHeight="1">
      <c r="A26" s="345" t="s">
        <v>146</v>
      </c>
      <c r="B26" s="345"/>
      <c r="C26" s="345"/>
      <c r="D26" s="345"/>
      <c r="E26" s="350" t="s">
        <v>147</v>
      </c>
      <c r="F26" s="350"/>
      <c r="G26" s="350" t="s">
        <v>147</v>
      </c>
      <c r="H26" s="350"/>
      <c r="I26" s="350" t="s">
        <v>148</v>
      </c>
      <c r="J26" s="350"/>
      <c r="K26" s="350"/>
      <c r="L26" s="69" t="s">
        <v>149</v>
      </c>
      <c r="M26" s="69" t="e">
        <f>#REF!+#REF!+#REF!+#REF!</f>
        <v>#REF!</v>
      </c>
      <c r="N26" s="347" t="e">
        <f>#REF!+#REF!+#REF!+#REF!</f>
        <v>#REF!</v>
      </c>
      <c r="O26" s="347"/>
      <c r="P26" s="147" t="e">
        <f>#REF!</f>
        <v>#REF!</v>
      </c>
      <c r="Q26" s="209">
        <f>Q17+Q19+Q21+Q23+Q24+Q25</f>
        <v>802</v>
      </c>
      <c r="R26" s="348" t="s">
        <v>180</v>
      </c>
      <c r="S26" s="348"/>
      <c r="T26" s="348"/>
      <c r="U26" s="348"/>
      <c r="V26" s="348"/>
    </row>
    <row r="27" spans="1:22" s="2" customFormat="1" ht="19.5" customHeight="1">
      <c r="A27" s="351" t="s">
        <v>247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</row>
    <row r="28" spans="1:22" s="2" customFormat="1" ht="19.5" customHeight="1">
      <c r="A28" s="352" t="s">
        <v>486</v>
      </c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</row>
    <row r="29" spans="1:22" s="2" customFormat="1" ht="27.75" customHeight="1">
      <c r="A29" s="3" t="s">
        <v>180</v>
      </c>
      <c r="B29" s="353" t="s">
        <v>36</v>
      </c>
      <c r="C29" s="353"/>
      <c r="D29" s="353"/>
      <c r="E29" s="354" t="s">
        <v>487</v>
      </c>
      <c r="F29" s="354"/>
      <c r="G29" s="354" t="s">
        <v>487</v>
      </c>
      <c r="H29" s="354"/>
      <c r="I29" s="354" t="s">
        <v>487</v>
      </c>
      <c r="J29" s="354"/>
      <c r="K29" s="354"/>
      <c r="L29" s="67" t="s">
        <v>188</v>
      </c>
      <c r="M29" s="67"/>
      <c r="N29" s="353">
        <f>M29</f>
        <v>0</v>
      </c>
      <c r="O29" s="353"/>
      <c r="P29" s="145"/>
      <c r="Q29" s="204">
        <v>3</v>
      </c>
      <c r="R29" s="355" t="s">
        <v>488</v>
      </c>
      <c r="S29" s="355"/>
      <c r="T29" s="355"/>
      <c r="U29" s="355"/>
      <c r="V29" s="355"/>
    </row>
    <row r="30" spans="1:22" s="2" customFormat="1" ht="19.5" customHeight="1">
      <c r="A30" s="352" t="s">
        <v>489</v>
      </c>
      <c r="B30" s="352"/>
      <c r="C30" s="352"/>
      <c r="D30" s="352"/>
      <c r="E30" s="352"/>
      <c r="F30" s="352"/>
      <c r="G30" s="352"/>
      <c r="H30" s="352"/>
      <c r="I30" s="352"/>
      <c r="J30" s="352"/>
      <c r="K30" s="352"/>
      <c r="L30" s="352"/>
      <c r="M30" s="352"/>
      <c r="N30" s="352"/>
      <c r="O30" s="352"/>
      <c r="P30" s="352"/>
      <c r="Q30" s="352"/>
      <c r="R30" s="352"/>
      <c r="S30" s="352"/>
      <c r="T30" s="352"/>
      <c r="U30" s="352"/>
      <c r="V30" s="352"/>
    </row>
    <row r="31" spans="1:22" s="2" customFormat="1" ht="25.5" customHeight="1">
      <c r="A31" s="3" t="s">
        <v>180</v>
      </c>
      <c r="B31" s="353" t="s">
        <v>36</v>
      </c>
      <c r="C31" s="353"/>
      <c r="D31" s="353"/>
      <c r="E31" s="354" t="s">
        <v>189</v>
      </c>
      <c r="F31" s="354"/>
      <c r="G31" s="354" t="s">
        <v>189</v>
      </c>
      <c r="H31" s="354"/>
      <c r="I31" s="354" t="s">
        <v>188</v>
      </c>
      <c r="J31" s="354"/>
      <c r="K31" s="354"/>
      <c r="L31" s="67" t="s">
        <v>188</v>
      </c>
      <c r="M31" s="67"/>
      <c r="N31" s="353">
        <f>L31+M31</f>
        <v>3</v>
      </c>
      <c r="O31" s="353"/>
      <c r="P31" s="145"/>
      <c r="Q31" s="204">
        <f>N31+P31</f>
        <v>3</v>
      </c>
      <c r="R31" s="355" t="s">
        <v>490</v>
      </c>
      <c r="S31" s="355"/>
      <c r="T31" s="355"/>
      <c r="U31" s="355"/>
      <c r="V31" s="355"/>
    </row>
    <row r="32" spans="1:22" s="2" customFormat="1" ht="19.5" customHeight="1">
      <c r="A32" s="345" t="s">
        <v>252</v>
      </c>
      <c r="B32" s="345"/>
      <c r="C32" s="345"/>
      <c r="D32" s="345"/>
      <c r="E32" s="350" t="s">
        <v>491</v>
      </c>
      <c r="F32" s="350"/>
      <c r="G32" s="350" t="s">
        <v>491</v>
      </c>
      <c r="H32" s="350"/>
      <c r="I32" s="350" t="s">
        <v>186</v>
      </c>
      <c r="J32" s="350"/>
      <c r="K32" s="350"/>
      <c r="L32" s="69" t="s">
        <v>125</v>
      </c>
      <c r="M32" s="69" t="e">
        <f>#REF!</f>
        <v>#REF!</v>
      </c>
      <c r="N32" s="347" t="e">
        <f>#REF!+#REF!</f>
        <v>#REF!</v>
      </c>
      <c r="O32" s="347"/>
      <c r="P32" s="147" t="e">
        <f>#REF!</f>
        <v>#REF!</v>
      </c>
      <c r="Q32" s="209">
        <v>6</v>
      </c>
      <c r="R32" s="348" t="s">
        <v>180</v>
      </c>
      <c r="S32" s="348"/>
      <c r="T32" s="348"/>
      <c r="U32" s="348"/>
      <c r="V32" s="348"/>
    </row>
    <row r="33" spans="1:22" s="2" customFormat="1" ht="19.5" customHeight="1">
      <c r="A33" s="351" t="s">
        <v>492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</row>
    <row r="34" spans="1:22" s="2" customFormat="1" ht="19.5" customHeight="1">
      <c r="A34" s="352" t="s">
        <v>190</v>
      </c>
      <c r="B34" s="352"/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</row>
    <row r="35" spans="1:22" s="2" customFormat="1" ht="30" customHeight="1">
      <c r="A35" s="3" t="s">
        <v>180</v>
      </c>
      <c r="B35" s="353" t="s">
        <v>121</v>
      </c>
      <c r="C35" s="353"/>
      <c r="D35" s="353"/>
      <c r="E35" s="354" t="s">
        <v>493</v>
      </c>
      <c r="F35" s="354"/>
      <c r="G35" s="354" t="s">
        <v>493</v>
      </c>
      <c r="H35" s="354"/>
      <c r="I35" s="354" t="s">
        <v>494</v>
      </c>
      <c r="J35" s="354"/>
      <c r="K35" s="354"/>
      <c r="L35" s="67" t="s">
        <v>495</v>
      </c>
      <c r="M35" s="67"/>
      <c r="N35" s="353">
        <f>L35+M35</f>
        <v>120</v>
      </c>
      <c r="O35" s="353"/>
      <c r="P35" s="145"/>
      <c r="Q35" s="204">
        <f>N35+P35</f>
        <v>120</v>
      </c>
      <c r="R35" s="355" t="s">
        <v>496</v>
      </c>
      <c r="S35" s="355"/>
      <c r="T35" s="355"/>
      <c r="U35" s="355"/>
      <c r="V35" s="355"/>
    </row>
    <row r="36" spans="1:22" s="2" customFormat="1" ht="19.5" customHeight="1">
      <c r="A36" s="345" t="s">
        <v>497</v>
      </c>
      <c r="B36" s="345"/>
      <c r="C36" s="345"/>
      <c r="D36" s="345"/>
      <c r="E36" s="350" t="s">
        <v>493</v>
      </c>
      <c r="F36" s="350"/>
      <c r="G36" s="350" t="s">
        <v>493</v>
      </c>
      <c r="H36" s="350"/>
      <c r="I36" s="350" t="s">
        <v>494</v>
      </c>
      <c r="J36" s="350"/>
      <c r="K36" s="350"/>
      <c r="L36" s="69" t="s">
        <v>495</v>
      </c>
      <c r="M36" s="69" t="e">
        <f>#REF!</f>
        <v>#REF!</v>
      </c>
      <c r="N36" s="347" t="e">
        <f>#REF!</f>
        <v>#REF!</v>
      </c>
      <c r="O36" s="347"/>
      <c r="P36" s="147" t="e">
        <f>#REF!</f>
        <v>#REF!</v>
      </c>
      <c r="Q36" s="209">
        <v>120</v>
      </c>
      <c r="R36" s="348" t="s">
        <v>180</v>
      </c>
      <c r="S36" s="348"/>
      <c r="T36" s="348"/>
      <c r="U36" s="348"/>
      <c r="V36" s="348"/>
    </row>
    <row r="37" spans="1:22" s="2" customFormat="1" ht="19.5" customHeight="1">
      <c r="A37" s="351" t="s">
        <v>329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</row>
    <row r="38" spans="1:22" s="2" customFormat="1" ht="19.5" customHeight="1">
      <c r="A38" s="352" t="s">
        <v>498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</row>
    <row r="39" spans="1:22" s="2" customFormat="1" ht="39" customHeight="1">
      <c r="A39" s="3" t="s">
        <v>180</v>
      </c>
      <c r="B39" s="353" t="s">
        <v>36</v>
      </c>
      <c r="C39" s="353"/>
      <c r="D39" s="353"/>
      <c r="E39" s="354" t="s">
        <v>260</v>
      </c>
      <c r="F39" s="354"/>
      <c r="G39" s="354" t="s">
        <v>260</v>
      </c>
      <c r="H39" s="354"/>
      <c r="I39" s="354" t="s">
        <v>260</v>
      </c>
      <c r="J39" s="354"/>
      <c r="K39" s="354"/>
      <c r="L39" s="67" t="s">
        <v>260</v>
      </c>
      <c r="M39" s="67"/>
      <c r="N39" s="353">
        <f>L39+M39</f>
        <v>50</v>
      </c>
      <c r="O39" s="353"/>
      <c r="P39" s="145"/>
      <c r="Q39" s="204">
        <f>N39+P39</f>
        <v>50</v>
      </c>
      <c r="R39" s="355" t="s">
        <v>499</v>
      </c>
      <c r="S39" s="355"/>
      <c r="T39" s="355"/>
      <c r="U39" s="355"/>
      <c r="V39" s="355"/>
    </row>
    <row r="40" spans="1:22" s="2" customFormat="1" ht="19.5" customHeight="1">
      <c r="A40" s="345" t="s">
        <v>119</v>
      </c>
      <c r="B40" s="345"/>
      <c r="C40" s="345"/>
      <c r="D40" s="345"/>
      <c r="E40" s="350" t="s">
        <v>260</v>
      </c>
      <c r="F40" s="350"/>
      <c r="G40" s="350" t="s">
        <v>260</v>
      </c>
      <c r="H40" s="350"/>
      <c r="I40" s="350" t="s">
        <v>260</v>
      </c>
      <c r="J40" s="350"/>
      <c r="K40" s="350"/>
      <c r="L40" s="69" t="s">
        <v>260</v>
      </c>
      <c r="M40" s="69" t="e">
        <f>#REF!</f>
        <v>#REF!</v>
      </c>
      <c r="N40" s="347" t="e">
        <f>#REF!</f>
        <v>#REF!</v>
      </c>
      <c r="O40" s="347"/>
      <c r="P40" s="147" t="e">
        <f>#REF!</f>
        <v>#REF!</v>
      </c>
      <c r="Q40" s="209">
        <v>50</v>
      </c>
      <c r="R40" s="348" t="s">
        <v>180</v>
      </c>
      <c r="S40" s="348"/>
      <c r="T40" s="348"/>
      <c r="U40" s="348"/>
      <c r="V40" s="348"/>
    </row>
    <row r="41" spans="1:22" s="2" customFormat="1" ht="19.5" customHeight="1">
      <c r="A41" s="345" t="s">
        <v>500</v>
      </c>
      <c r="B41" s="345"/>
      <c r="C41" s="345"/>
      <c r="D41" s="345"/>
      <c r="E41" s="346">
        <v>4206</v>
      </c>
      <c r="F41" s="346"/>
      <c r="G41" s="346">
        <v>4206</v>
      </c>
      <c r="H41" s="346"/>
      <c r="I41" s="346">
        <v>3139</v>
      </c>
      <c r="J41" s="346"/>
      <c r="K41" s="346"/>
      <c r="L41" s="68">
        <v>3667</v>
      </c>
      <c r="M41" s="68" t="e">
        <f>M40+M36+M32+M26+M14+M10</f>
        <v>#REF!</v>
      </c>
      <c r="N41" s="349" t="e">
        <f>N40+N36+N32+N26+N14+N10</f>
        <v>#REF!</v>
      </c>
      <c r="O41" s="349"/>
      <c r="P41" s="4" t="e">
        <f>P40+P36+P32+P26+P14+P10</f>
        <v>#REF!</v>
      </c>
      <c r="Q41" s="205">
        <f>Q40+Q36+Q32+Q26+Q14+Q10</f>
        <v>3667</v>
      </c>
      <c r="R41" s="348" t="s">
        <v>180</v>
      </c>
      <c r="S41" s="348"/>
      <c r="T41" s="348"/>
      <c r="U41" s="348"/>
      <c r="V41" s="348"/>
    </row>
  </sheetData>
  <sheetProtection/>
  <mergeCells count="156">
    <mergeCell ref="R5:V5"/>
    <mergeCell ref="B1:D1"/>
    <mergeCell ref="E1:F1"/>
    <mergeCell ref="G1:H1"/>
    <mergeCell ref="I1:K1"/>
    <mergeCell ref="N1:O1"/>
    <mergeCell ref="R1:V1"/>
    <mergeCell ref="G6:H6"/>
    <mergeCell ref="I6:K6"/>
    <mergeCell ref="A2:B2"/>
    <mergeCell ref="A3:V3"/>
    <mergeCell ref="A4:V4"/>
    <mergeCell ref="B5:D5"/>
    <mergeCell ref="E5:F5"/>
    <mergeCell ref="G5:H5"/>
    <mergeCell ref="I5:K5"/>
    <mergeCell ref="N5:O5"/>
    <mergeCell ref="N6:O6"/>
    <mergeCell ref="R6:V6"/>
    <mergeCell ref="B7:D7"/>
    <mergeCell ref="E7:F7"/>
    <mergeCell ref="G7:H7"/>
    <mergeCell ref="I7:K7"/>
    <mergeCell ref="N7:O7"/>
    <mergeCell ref="R7:V7"/>
    <mergeCell ref="B6:D6"/>
    <mergeCell ref="E6:F6"/>
    <mergeCell ref="R10:V10"/>
    <mergeCell ref="A8:V8"/>
    <mergeCell ref="B9:D9"/>
    <mergeCell ref="E9:F9"/>
    <mergeCell ref="G9:H9"/>
    <mergeCell ref="I9:K9"/>
    <mergeCell ref="N9:O9"/>
    <mergeCell ref="R9:V9"/>
    <mergeCell ref="A10:D10"/>
    <mergeCell ref="E10:F10"/>
    <mergeCell ref="G10:H10"/>
    <mergeCell ref="I10:K10"/>
    <mergeCell ref="N14:O14"/>
    <mergeCell ref="E14:F14"/>
    <mergeCell ref="G14:H14"/>
    <mergeCell ref="I14:K14"/>
    <mergeCell ref="N10:O10"/>
    <mergeCell ref="R14:V14"/>
    <mergeCell ref="A11:V11"/>
    <mergeCell ref="A12:V12"/>
    <mergeCell ref="B13:D13"/>
    <mergeCell ref="E13:F13"/>
    <mergeCell ref="G13:H13"/>
    <mergeCell ref="I13:K13"/>
    <mergeCell ref="N13:O13"/>
    <mergeCell ref="R13:V13"/>
    <mergeCell ref="A14:D14"/>
    <mergeCell ref="A20:V20"/>
    <mergeCell ref="A15:V15"/>
    <mergeCell ref="A16:V16"/>
    <mergeCell ref="B17:D17"/>
    <mergeCell ref="E17:F17"/>
    <mergeCell ref="G17:H17"/>
    <mergeCell ref="I17:K17"/>
    <mergeCell ref="N17:O17"/>
    <mergeCell ref="R17:V17"/>
    <mergeCell ref="I21:K21"/>
    <mergeCell ref="A22:V22"/>
    <mergeCell ref="B23:D23"/>
    <mergeCell ref="A18:V18"/>
    <mergeCell ref="B19:D19"/>
    <mergeCell ref="E19:F19"/>
    <mergeCell ref="G19:H19"/>
    <mergeCell ref="I19:K19"/>
    <mergeCell ref="N19:O19"/>
    <mergeCell ref="R19:V19"/>
    <mergeCell ref="N21:O21"/>
    <mergeCell ref="R21:V21"/>
    <mergeCell ref="B24:D24"/>
    <mergeCell ref="E24:F24"/>
    <mergeCell ref="G24:H24"/>
    <mergeCell ref="E23:F23"/>
    <mergeCell ref="G23:H23"/>
    <mergeCell ref="B21:D21"/>
    <mergeCell ref="E21:F21"/>
    <mergeCell ref="G21:H21"/>
    <mergeCell ref="B25:D25"/>
    <mergeCell ref="E25:F25"/>
    <mergeCell ref="G25:H25"/>
    <mergeCell ref="I25:K25"/>
    <mergeCell ref="N25:O25"/>
    <mergeCell ref="I24:K24"/>
    <mergeCell ref="N24:O24"/>
    <mergeCell ref="R23:V23"/>
    <mergeCell ref="R25:V25"/>
    <mergeCell ref="I23:K23"/>
    <mergeCell ref="N23:O23"/>
    <mergeCell ref="R24:V24"/>
    <mergeCell ref="R26:V26"/>
    <mergeCell ref="A26:D26"/>
    <mergeCell ref="E26:F26"/>
    <mergeCell ref="G26:H26"/>
    <mergeCell ref="I26:K26"/>
    <mergeCell ref="N26:O26"/>
    <mergeCell ref="A27:V27"/>
    <mergeCell ref="A28:V28"/>
    <mergeCell ref="B29:D29"/>
    <mergeCell ref="E29:F29"/>
    <mergeCell ref="G29:H29"/>
    <mergeCell ref="I29:K29"/>
    <mergeCell ref="N29:O29"/>
    <mergeCell ref="R29:V29"/>
    <mergeCell ref="R32:V32"/>
    <mergeCell ref="A30:V30"/>
    <mergeCell ref="B31:D31"/>
    <mergeCell ref="E31:F31"/>
    <mergeCell ref="G31:H31"/>
    <mergeCell ref="I31:K31"/>
    <mergeCell ref="N31:O31"/>
    <mergeCell ref="R31:V31"/>
    <mergeCell ref="A32:D32"/>
    <mergeCell ref="E32:F32"/>
    <mergeCell ref="G32:H32"/>
    <mergeCell ref="I32:K32"/>
    <mergeCell ref="N36:O36"/>
    <mergeCell ref="E36:F36"/>
    <mergeCell ref="G36:H36"/>
    <mergeCell ref="I36:K36"/>
    <mergeCell ref="N32:O32"/>
    <mergeCell ref="R36:V36"/>
    <mergeCell ref="A33:V33"/>
    <mergeCell ref="A34:V34"/>
    <mergeCell ref="B35:D35"/>
    <mergeCell ref="E35:F35"/>
    <mergeCell ref="G35:H35"/>
    <mergeCell ref="I35:K35"/>
    <mergeCell ref="N35:O35"/>
    <mergeCell ref="R35:V35"/>
    <mergeCell ref="A36:D36"/>
    <mergeCell ref="A37:V37"/>
    <mergeCell ref="A38:V38"/>
    <mergeCell ref="B39:D39"/>
    <mergeCell ref="E39:F39"/>
    <mergeCell ref="G39:H39"/>
    <mergeCell ref="I39:K39"/>
    <mergeCell ref="N39:O39"/>
    <mergeCell ref="R39:V39"/>
    <mergeCell ref="A40:D40"/>
    <mergeCell ref="E40:F40"/>
    <mergeCell ref="G40:H40"/>
    <mergeCell ref="I40:K40"/>
    <mergeCell ref="N40:O40"/>
    <mergeCell ref="R40:V40"/>
    <mergeCell ref="N41:O41"/>
    <mergeCell ref="R41:V41"/>
    <mergeCell ref="A41:D41"/>
    <mergeCell ref="E41:F41"/>
    <mergeCell ref="G41:H41"/>
    <mergeCell ref="I41:K41"/>
  </mergeCells>
  <printOptions/>
  <pageMargins left="1.22" right="0.32" top="1.15" bottom="1" header="0.67" footer="0.4921259845"/>
  <pageSetup firstPageNumber="10" useFirstPageNumber="1" horizontalDpi="600" verticalDpi="600" orientation="portrait" paperSize="9" scale="65" r:id="rId1"/>
  <headerFooter alignWithMargins="0">
    <oddHeader>&amp;C&amp;"Arial,Tučné"&amp;12Schválený rozpočet rok 2013 - členské příspěvky&amp;R&amp;"Arial,Tučné"Příloha č. 5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G10" sqref="AG10"/>
    </sheetView>
  </sheetViews>
  <sheetFormatPr defaultColWidth="9.140625" defaultRowHeight="12.75" outlineLevelRow="1"/>
  <cols>
    <col min="5" max="5" width="0" style="129" hidden="1" customWidth="1"/>
    <col min="6" max="6" width="1.1484375" style="129" hidden="1" customWidth="1"/>
    <col min="7" max="7" width="11.421875" style="129" hidden="1" customWidth="1"/>
    <col min="8" max="8" width="0.2890625" style="129" hidden="1" customWidth="1"/>
    <col min="9" max="9" width="11.28125" style="129" hidden="1" customWidth="1"/>
    <col min="10" max="10" width="0.2890625" style="129" hidden="1" customWidth="1"/>
    <col min="11" max="11" width="9.140625" style="129" hidden="1" customWidth="1"/>
    <col min="12" max="12" width="14.140625" style="129" hidden="1" customWidth="1"/>
    <col min="13" max="13" width="11.8515625" style="129" hidden="1" customWidth="1"/>
    <col min="14" max="14" width="10.8515625" style="129" hidden="1" customWidth="1"/>
    <col min="15" max="15" width="9.140625" style="0" hidden="1" customWidth="1"/>
    <col min="16" max="16" width="0" style="0" hidden="1" customWidth="1"/>
    <col min="17" max="17" width="10.8515625" style="0" customWidth="1"/>
    <col min="22" max="22" width="17.57421875" style="0" customWidth="1"/>
  </cols>
  <sheetData>
    <row r="1" spans="1:22" ht="49.5" customHeight="1" thickBot="1">
      <c r="A1" s="261" t="s">
        <v>181</v>
      </c>
      <c r="B1" s="357" t="s">
        <v>182</v>
      </c>
      <c r="C1" s="357"/>
      <c r="D1" s="357"/>
      <c r="E1" s="358" t="s">
        <v>207</v>
      </c>
      <c r="F1" s="358"/>
      <c r="G1" s="358" t="s">
        <v>208</v>
      </c>
      <c r="H1" s="358"/>
      <c r="I1" s="358" t="s">
        <v>161</v>
      </c>
      <c r="J1" s="358"/>
      <c r="K1" s="358"/>
      <c r="L1" s="262" t="s">
        <v>162</v>
      </c>
      <c r="M1" s="262" t="s">
        <v>163</v>
      </c>
      <c r="N1" s="357" t="s">
        <v>171</v>
      </c>
      <c r="O1" s="357"/>
      <c r="P1" s="262" t="s">
        <v>294</v>
      </c>
      <c r="Q1" s="262" t="s">
        <v>460</v>
      </c>
      <c r="R1" s="357" t="s">
        <v>368</v>
      </c>
      <c r="S1" s="357"/>
      <c r="T1" s="357"/>
      <c r="U1" s="357"/>
      <c r="V1" s="357"/>
    </row>
    <row r="2" spans="1:22" ht="19.5" customHeight="1">
      <c r="A2" s="359" t="s">
        <v>183</v>
      </c>
      <c r="B2" s="359"/>
      <c r="C2" s="1"/>
      <c r="D2" s="1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"/>
      <c r="P2" s="1"/>
      <c r="Q2" s="1"/>
      <c r="R2" s="1"/>
      <c r="S2" s="1"/>
      <c r="T2" s="1"/>
      <c r="U2" s="1"/>
      <c r="V2" s="1"/>
    </row>
    <row r="3" spans="1:22" ht="19.5" customHeight="1">
      <c r="A3" s="351" t="s">
        <v>164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</row>
    <row r="4" spans="1:22" ht="19.5" customHeight="1">
      <c r="A4" s="352" t="s">
        <v>21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</row>
    <row r="5" spans="1:22" ht="29.25" customHeight="1">
      <c r="A5" s="3" t="s">
        <v>180</v>
      </c>
      <c r="B5" s="353" t="s">
        <v>166</v>
      </c>
      <c r="C5" s="353"/>
      <c r="D5" s="353"/>
      <c r="E5" s="354">
        <v>4830</v>
      </c>
      <c r="F5" s="354"/>
      <c r="G5" s="354" t="s">
        <v>22</v>
      </c>
      <c r="H5" s="354"/>
      <c r="I5" s="354" t="s">
        <v>23</v>
      </c>
      <c r="J5" s="354"/>
      <c r="K5" s="354"/>
      <c r="L5" s="67" t="s">
        <v>24</v>
      </c>
      <c r="M5" s="67"/>
      <c r="N5" s="353">
        <f>L5+M5</f>
        <v>360</v>
      </c>
      <c r="O5" s="353"/>
      <c r="P5" s="145"/>
      <c r="Q5" s="204">
        <f>N5+P5</f>
        <v>360</v>
      </c>
      <c r="R5" s="355" t="s">
        <v>25</v>
      </c>
      <c r="S5" s="355"/>
      <c r="T5" s="355"/>
      <c r="U5" s="355"/>
      <c r="V5" s="355"/>
    </row>
    <row r="6" spans="1:22" ht="19.5" customHeight="1">
      <c r="A6" s="360" t="s">
        <v>26</v>
      </c>
      <c r="B6" s="360"/>
      <c r="C6" s="360"/>
      <c r="D6" s="360"/>
      <c r="E6" s="354">
        <v>4830</v>
      </c>
      <c r="F6" s="354"/>
      <c r="G6" s="354" t="s">
        <v>22</v>
      </c>
      <c r="H6" s="354"/>
      <c r="I6" s="354" t="s">
        <v>23</v>
      </c>
      <c r="J6" s="354"/>
      <c r="K6" s="354"/>
      <c r="L6" s="67" t="s">
        <v>24</v>
      </c>
      <c r="M6" s="67">
        <f>M5</f>
        <v>0</v>
      </c>
      <c r="N6" s="353">
        <f>N5</f>
        <v>360</v>
      </c>
      <c r="O6" s="353"/>
      <c r="P6" s="145">
        <f>P5</f>
        <v>0</v>
      </c>
      <c r="Q6" s="204">
        <f>Q5</f>
        <v>360</v>
      </c>
      <c r="R6" s="355" t="s">
        <v>180</v>
      </c>
      <c r="S6" s="355"/>
      <c r="T6" s="355"/>
      <c r="U6" s="355"/>
      <c r="V6" s="355"/>
    </row>
    <row r="7" spans="1:22" ht="19.5" customHeight="1">
      <c r="A7" s="352" t="s">
        <v>190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</row>
    <row r="8" spans="1:22" ht="42.75" customHeight="1">
      <c r="A8" s="3" t="s">
        <v>180</v>
      </c>
      <c r="B8" s="353" t="s">
        <v>166</v>
      </c>
      <c r="C8" s="353"/>
      <c r="D8" s="353"/>
      <c r="E8" s="354" t="s">
        <v>179</v>
      </c>
      <c r="F8" s="354"/>
      <c r="G8" s="354" t="s">
        <v>27</v>
      </c>
      <c r="H8" s="354"/>
      <c r="I8" s="354" t="s">
        <v>179</v>
      </c>
      <c r="J8" s="354"/>
      <c r="K8" s="354"/>
      <c r="L8" s="67" t="s">
        <v>28</v>
      </c>
      <c r="M8" s="67"/>
      <c r="N8" s="353">
        <f>L8+M8</f>
        <v>452</v>
      </c>
      <c r="O8" s="353"/>
      <c r="P8" s="145"/>
      <c r="Q8" s="204">
        <f>N8+P8</f>
        <v>452</v>
      </c>
      <c r="R8" s="355" t="s">
        <v>29</v>
      </c>
      <c r="S8" s="355"/>
      <c r="T8" s="355"/>
      <c r="U8" s="355"/>
      <c r="V8" s="355"/>
    </row>
    <row r="9" spans="1:22" ht="72" customHeight="1">
      <c r="A9" s="3" t="s">
        <v>180</v>
      </c>
      <c r="B9" s="353" t="s">
        <v>292</v>
      </c>
      <c r="C9" s="353"/>
      <c r="D9" s="353"/>
      <c r="E9" s="354" t="s">
        <v>179</v>
      </c>
      <c r="F9" s="354"/>
      <c r="G9" s="354" t="s">
        <v>179</v>
      </c>
      <c r="H9" s="354"/>
      <c r="I9" s="354" t="s">
        <v>179</v>
      </c>
      <c r="J9" s="354"/>
      <c r="K9" s="354"/>
      <c r="L9" s="67" t="s">
        <v>30</v>
      </c>
      <c r="M9" s="67"/>
      <c r="N9" s="353">
        <f>L9+M9</f>
        <v>100</v>
      </c>
      <c r="O9" s="353"/>
      <c r="P9" s="145"/>
      <c r="Q9" s="204">
        <f>N9+P9</f>
        <v>100</v>
      </c>
      <c r="R9" s="355" t="s">
        <v>340</v>
      </c>
      <c r="S9" s="355"/>
      <c r="T9" s="355"/>
      <c r="U9" s="355"/>
      <c r="V9" s="355"/>
    </row>
    <row r="10" spans="1:22" ht="19.5" customHeight="1">
      <c r="A10" s="3" t="s">
        <v>180</v>
      </c>
      <c r="B10" s="353" t="s">
        <v>292</v>
      </c>
      <c r="C10" s="353"/>
      <c r="D10" s="353"/>
      <c r="E10" s="354" t="s">
        <v>179</v>
      </c>
      <c r="F10" s="354"/>
      <c r="G10" s="354" t="s">
        <v>179</v>
      </c>
      <c r="H10" s="354"/>
      <c r="I10" s="354" t="s">
        <v>179</v>
      </c>
      <c r="J10" s="354"/>
      <c r="K10" s="354"/>
      <c r="L10" s="67" t="s">
        <v>30</v>
      </c>
      <c r="M10" s="67"/>
      <c r="N10" s="353">
        <f>L10+M10</f>
        <v>100</v>
      </c>
      <c r="O10" s="353"/>
      <c r="P10" s="145"/>
      <c r="Q10" s="204">
        <f>N10+P10</f>
        <v>100</v>
      </c>
      <c r="R10" s="355" t="s">
        <v>341</v>
      </c>
      <c r="S10" s="355"/>
      <c r="T10" s="355"/>
      <c r="U10" s="355"/>
      <c r="V10" s="355"/>
    </row>
    <row r="11" spans="1:22" ht="19.5" customHeight="1">
      <c r="A11" s="360" t="s">
        <v>192</v>
      </c>
      <c r="B11" s="360"/>
      <c r="C11" s="360"/>
      <c r="D11" s="360"/>
      <c r="E11" s="354" t="s">
        <v>179</v>
      </c>
      <c r="F11" s="354"/>
      <c r="G11" s="354" t="s">
        <v>27</v>
      </c>
      <c r="H11" s="354"/>
      <c r="I11" s="354" t="s">
        <v>179</v>
      </c>
      <c r="J11" s="354"/>
      <c r="K11" s="354"/>
      <c r="L11" s="67" t="s">
        <v>451</v>
      </c>
      <c r="M11" s="67">
        <f>M8+M9+M10</f>
        <v>0</v>
      </c>
      <c r="N11" s="353">
        <f>N8+N9+N10</f>
        <v>652</v>
      </c>
      <c r="O11" s="353"/>
      <c r="P11" s="145">
        <f>P8+P9+P10</f>
        <v>0</v>
      </c>
      <c r="Q11" s="204">
        <f>N11+P11</f>
        <v>652</v>
      </c>
      <c r="R11" s="355" t="s">
        <v>180</v>
      </c>
      <c r="S11" s="355"/>
      <c r="T11" s="355"/>
      <c r="U11" s="355"/>
      <c r="V11" s="355"/>
    </row>
    <row r="12" spans="1:22" ht="19.5" customHeight="1">
      <c r="A12" s="352" t="s">
        <v>72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2"/>
      <c r="R12" s="352"/>
      <c r="S12" s="352"/>
      <c r="T12" s="352"/>
      <c r="U12" s="352"/>
      <c r="V12" s="352"/>
    </row>
    <row r="13" spans="1:22" ht="19.5" customHeight="1" hidden="1" outlineLevel="1">
      <c r="A13" s="3" t="s">
        <v>180</v>
      </c>
      <c r="B13" s="353" t="s">
        <v>292</v>
      </c>
      <c r="C13" s="353"/>
      <c r="D13" s="353"/>
      <c r="E13" s="354" t="s">
        <v>179</v>
      </c>
      <c r="F13" s="354"/>
      <c r="G13" s="354" t="s">
        <v>73</v>
      </c>
      <c r="H13" s="354"/>
      <c r="I13" s="354" t="s">
        <v>73</v>
      </c>
      <c r="J13" s="354"/>
      <c r="K13" s="354"/>
      <c r="L13" s="67" t="s">
        <v>179</v>
      </c>
      <c r="M13" s="67"/>
      <c r="N13" s="353" t="s">
        <v>180</v>
      </c>
      <c r="O13" s="353"/>
      <c r="P13" s="145"/>
      <c r="Q13" s="145"/>
      <c r="R13" s="355" t="s">
        <v>180</v>
      </c>
      <c r="S13" s="355"/>
      <c r="T13" s="355"/>
      <c r="U13" s="355"/>
      <c r="V13" s="355"/>
    </row>
    <row r="14" spans="1:22" ht="19.5" customHeight="1" hidden="1" outlineLevel="1">
      <c r="A14" s="3" t="s">
        <v>180</v>
      </c>
      <c r="B14" s="353" t="s">
        <v>292</v>
      </c>
      <c r="C14" s="353"/>
      <c r="D14" s="353"/>
      <c r="E14" s="354">
        <v>2615</v>
      </c>
      <c r="F14" s="354"/>
      <c r="G14" s="354" t="s">
        <v>179</v>
      </c>
      <c r="H14" s="354"/>
      <c r="I14" s="354" t="s">
        <v>179</v>
      </c>
      <c r="J14" s="354"/>
      <c r="K14" s="354"/>
      <c r="L14" s="67" t="s">
        <v>179</v>
      </c>
      <c r="M14" s="67"/>
      <c r="N14" s="353" t="s">
        <v>180</v>
      </c>
      <c r="O14" s="353"/>
      <c r="P14" s="145"/>
      <c r="Q14" s="145"/>
      <c r="R14" s="355" t="s">
        <v>180</v>
      </c>
      <c r="S14" s="355"/>
      <c r="T14" s="355"/>
      <c r="U14" s="355"/>
      <c r="V14" s="355"/>
    </row>
    <row r="15" spans="1:22" ht="35.25" customHeight="1" collapsed="1">
      <c r="A15" s="3" t="s">
        <v>180</v>
      </c>
      <c r="B15" s="353" t="s">
        <v>292</v>
      </c>
      <c r="C15" s="353"/>
      <c r="D15" s="353"/>
      <c r="E15" s="354" t="s">
        <v>179</v>
      </c>
      <c r="F15" s="354"/>
      <c r="G15" s="354" t="s">
        <v>179</v>
      </c>
      <c r="H15" s="354"/>
      <c r="I15" s="354" t="s">
        <v>179</v>
      </c>
      <c r="J15" s="354"/>
      <c r="K15" s="354"/>
      <c r="L15" s="67">
        <v>4000</v>
      </c>
      <c r="M15" s="67"/>
      <c r="N15" s="353">
        <f>4000+M15</f>
        <v>4000</v>
      </c>
      <c r="O15" s="353"/>
      <c r="P15" s="145"/>
      <c r="Q15" s="203">
        <f>N15+P15</f>
        <v>4000</v>
      </c>
      <c r="R15" s="355" t="s">
        <v>74</v>
      </c>
      <c r="S15" s="355"/>
      <c r="T15" s="355"/>
      <c r="U15" s="355"/>
      <c r="V15" s="355"/>
    </row>
    <row r="16" spans="1:22" ht="19.5" customHeight="1" hidden="1" outlineLevel="1">
      <c r="A16" s="3" t="s">
        <v>180</v>
      </c>
      <c r="B16" s="353" t="s">
        <v>292</v>
      </c>
      <c r="C16" s="353"/>
      <c r="D16" s="353"/>
      <c r="E16" s="354" t="s">
        <v>179</v>
      </c>
      <c r="F16" s="354"/>
      <c r="G16" s="354" t="s">
        <v>75</v>
      </c>
      <c r="H16" s="354"/>
      <c r="I16" s="354" t="s">
        <v>76</v>
      </c>
      <c r="J16" s="354"/>
      <c r="K16" s="354"/>
      <c r="L16" s="67" t="s">
        <v>179</v>
      </c>
      <c r="M16" s="67"/>
      <c r="N16" s="353" t="s">
        <v>180</v>
      </c>
      <c r="O16" s="353"/>
      <c r="P16" s="145"/>
      <c r="Q16" s="203"/>
      <c r="R16" s="355" t="s">
        <v>180</v>
      </c>
      <c r="S16" s="355"/>
      <c r="T16" s="355"/>
      <c r="U16" s="355"/>
      <c r="V16" s="355"/>
    </row>
    <row r="17" spans="1:22" ht="19.5" customHeight="1" collapsed="1">
      <c r="A17" s="360" t="s">
        <v>77</v>
      </c>
      <c r="B17" s="360"/>
      <c r="C17" s="360"/>
      <c r="D17" s="360"/>
      <c r="E17" s="354">
        <v>2615</v>
      </c>
      <c r="F17" s="354"/>
      <c r="G17" s="354" t="s">
        <v>78</v>
      </c>
      <c r="H17" s="354"/>
      <c r="I17" s="354" t="s">
        <v>79</v>
      </c>
      <c r="J17" s="354"/>
      <c r="K17" s="354"/>
      <c r="L17" s="67">
        <v>4000</v>
      </c>
      <c r="M17" s="67">
        <f>M15</f>
        <v>0</v>
      </c>
      <c r="N17" s="353">
        <f>N15</f>
        <v>4000</v>
      </c>
      <c r="O17" s="353"/>
      <c r="P17" s="145">
        <f>P15</f>
        <v>0</v>
      </c>
      <c r="Q17" s="203">
        <f>Q15</f>
        <v>4000</v>
      </c>
      <c r="R17" s="355" t="s">
        <v>180</v>
      </c>
      <c r="S17" s="355"/>
      <c r="T17" s="355"/>
      <c r="U17" s="355"/>
      <c r="V17" s="355"/>
    </row>
    <row r="18" spans="1:22" ht="19.5" customHeight="1">
      <c r="A18" s="345" t="s">
        <v>80</v>
      </c>
      <c r="B18" s="345"/>
      <c r="C18" s="345"/>
      <c r="D18" s="345"/>
      <c r="E18" s="350">
        <v>15225</v>
      </c>
      <c r="F18" s="350"/>
      <c r="G18" s="350">
        <v>14064</v>
      </c>
      <c r="H18" s="350"/>
      <c r="I18" s="350">
        <v>2771</v>
      </c>
      <c r="J18" s="350"/>
      <c r="K18" s="350"/>
      <c r="L18" s="69">
        <v>5012</v>
      </c>
      <c r="M18" s="69">
        <f>M17+M11+M6</f>
        <v>0</v>
      </c>
      <c r="N18" s="349">
        <f>N17+N11+N6</f>
        <v>5012</v>
      </c>
      <c r="O18" s="349"/>
      <c r="P18" s="4">
        <f>P17+P11+P6</f>
        <v>0</v>
      </c>
      <c r="Q18" s="205">
        <f>Q17+Q11+Q6</f>
        <v>5012</v>
      </c>
      <c r="R18" s="348" t="s">
        <v>180</v>
      </c>
      <c r="S18" s="348"/>
      <c r="T18" s="348"/>
      <c r="U18" s="348"/>
      <c r="V18" s="348"/>
    </row>
    <row r="19" spans="1:22" ht="19.5" customHeight="1">
      <c r="A19" s="351" t="s">
        <v>81</v>
      </c>
      <c r="B19" s="351"/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</row>
    <row r="20" spans="1:22" ht="19.5" customHeight="1">
      <c r="A20" s="352" t="s">
        <v>165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</row>
    <row r="21" spans="1:22" ht="19.5" customHeight="1">
      <c r="A21" s="3" t="s">
        <v>180</v>
      </c>
      <c r="B21" s="353" t="s">
        <v>292</v>
      </c>
      <c r="C21" s="353"/>
      <c r="D21" s="353"/>
      <c r="E21" s="354">
        <v>23000</v>
      </c>
      <c r="F21" s="354"/>
      <c r="G21" s="354">
        <v>16721</v>
      </c>
      <c r="H21" s="354"/>
      <c r="I21" s="354">
        <v>1830</v>
      </c>
      <c r="J21" s="354"/>
      <c r="K21" s="354"/>
      <c r="L21" s="67">
        <v>23000</v>
      </c>
      <c r="M21" s="67"/>
      <c r="N21" s="353">
        <f>23000+M21</f>
        <v>23000</v>
      </c>
      <c r="O21" s="353"/>
      <c r="P21" s="145"/>
      <c r="Q21" s="203">
        <f>N21+P21</f>
        <v>23000</v>
      </c>
      <c r="R21" s="355" t="s">
        <v>82</v>
      </c>
      <c r="S21" s="355"/>
      <c r="T21" s="355"/>
      <c r="U21" s="355"/>
      <c r="V21" s="355"/>
    </row>
    <row r="22" spans="1:22" ht="19.5" customHeight="1">
      <c r="A22" s="360" t="s">
        <v>293</v>
      </c>
      <c r="B22" s="360"/>
      <c r="C22" s="360"/>
      <c r="D22" s="360"/>
      <c r="E22" s="354">
        <v>23000</v>
      </c>
      <c r="F22" s="354"/>
      <c r="G22" s="354">
        <v>16721</v>
      </c>
      <c r="H22" s="354"/>
      <c r="I22" s="354">
        <v>1830</v>
      </c>
      <c r="J22" s="354"/>
      <c r="K22" s="354"/>
      <c r="L22" s="67">
        <v>23000</v>
      </c>
      <c r="M22" s="67">
        <f>M21</f>
        <v>0</v>
      </c>
      <c r="N22" s="353">
        <f>N21</f>
        <v>23000</v>
      </c>
      <c r="O22" s="353"/>
      <c r="P22" s="145">
        <f>P21</f>
        <v>0</v>
      </c>
      <c r="Q22" s="203">
        <f>Q21</f>
        <v>23000</v>
      </c>
      <c r="R22" s="355" t="s">
        <v>180</v>
      </c>
      <c r="S22" s="355"/>
      <c r="T22" s="355"/>
      <c r="U22" s="355"/>
      <c r="V22" s="355"/>
    </row>
    <row r="23" spans="1:22" ht="19.5" customHeight="1">
      <c r="A23" s="352" t="s">
        <v>10</v>
      </c>
      <c r="B23" s="352"/>
      <c r="C23" s="352"/>
      <c r="D23" s="352"/>
      <c r="E23" s="352"/>
      <c r="F23" s="352"/>
      <c r="G23" s="352"/>
      <c r="H23" s="352"/>
      <c r="I23" s="352"/>
      <c r="J23" s="352"/>
      <c r="K23" s="352"/>
      <c r="L23" s="352"/>
      <c r="M23" s="352"/>
      <c r="N23" s="352"/>
      <c r="O23" s="352"/>
      <c r="P23" s="352"/>
      <c r="Q23" s="352"/>
      <c r="R23" s="352"/>
      <c r="S23" s="352"/>
      <c r="T23" s="352"/>
      <c r="U23" s="352"/>
      <c r="V23" s="352"/>
    </row>
    <row r="24" spans="1:22" ht="19.5" customHeight="1">
      <c r="A24" s="3" t="s">
        <v>180</v>
      </c>
      <c r="B24" s="353" t="s">
        <v>292</v>
      </c>
      <c r="C24" s="353"/>
      <c r="D24" s="353"/>
      <c r="E24" s="354">
        <v>1000</v>
      </c>
      <c r="F24" s="354"/>
      <c r="G24" s="354">
        <v>1000</v>
      </c>
      <c r="H24" s="354"/>
      <c r="I24" s="354" t="s">
        <v>179</v>
      </c>
      <c r="J24" s="354"/>
      <c r="K24" s="354"/>
      <c r="L24" s="67">
        <v>1000</v>
      </c>
      <c r="M24" s="67"/>
      <c r="N24" s="353">
        <f>1000+M24</f>
        <v>1000</v>
      </c>
      <c r="O24" s="353"/>
      <c r="P24" s="145"/>
      <c r="Q24" s="203">
        <f>N24+P24</f>
        <v>1000</v>
      </c>
      <c r="R24" s="355" t="s">
        <v>83</v>
      </c>
      <c r="S24" s="355"/>
      <c r="T24" s="355"/>
      <c r="U24" s="355"/>
      <c r="V24" s="355"/>
    </row>
    <row r="25" spans="1:22" ht="19.5" customHeight="1">
      <c r="A25" s="360" t="s">
        <v>11</v>
      </c>
      <c r="B25" s="360"/>
      <c r="C25" s="360"/>
      <c r="D25" s="360"/>
      <c r="E25" s="354">
        <v>1000</v>
      </c>
      <c r="F25" s="354"/>
      <c r="G25" s="354">
        <v>1000</v>
      </c>
      <c r="H25" s="354"/>
      <c r="I25" s="354" t="s">
        <v>179</v>
      </c>
      <c r="J25" s="354"/>
      <c r="K25" s="354"/>
      <c r="L25" s="67">
        <v>1000</v>
      </c>
      <c r="M25" s="67">
        <f>M24</f>
        <v>0</v>
      </c>
      <c r="N25" s="353">
        <f>N24</f>
        <v>1000</v>
      </c>
      <c r="O25" s="353"/>
      <c r="P25" s="145">
        <f>P24</f>
        <v>0</v>
      </c>
      <c r="Q25" s="203">
        <f>Q24</f>
        <v>1000</v>
      </c>
      <c r="R25" s="355" t="s">
        <v>180</v>
      </c>
      <c r="S25" s="355"/>
      <c r="T25" s="355"/>
      <c r="U25" s="355"/>
      <c r="V25" s="355"/>
    </row>
    <row r="26" spans="1:22" ht="19.5" customHeight="1">
      <c r="A26" s="352" t="s">
        <v>84</v>
      </c>
      <c r="B26" s="352"/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352"/>
      <c r="Q26" s="352"/>
      <c r="R26" s="352"/>
      <c r="S26" s="352"/>
      <c r="T26" s="352"/>
      <c r="U26" s="352"/>
      <c r="V26" s="352"/>
    </row>
    <row r="27" spans="1:22" ht="19.5" customHeight="1">
      <c r="A27" s="3" t="s">
        <v>180</v>
      </c>
      <c r="B27" s="353" t="s">
        <v>292</v>
      </c>
      <c r="C27" s="353"/>
      <c r="D27" s="353"/>
      <c r="E27" s="354" t="s">
        <v>85</v>
      </c>
      <c r="F27" s="354"/>
      <c r="G27" s="354" t="s">
        <v>85</v>
      </c>
      <c r="H27" s="354"/>
      <c r="I27" s="354" t="s">
        <v>86</v>
      </c>
      <c r="J27" s="354"/>
      <c r="K27" s="354"/>
      <c r="L27" s="67" t="s">
        <v>85</v>
      </c>
      <c r="M27" s="67"/>
      <c r="N27" s="353">
        <f>L27+M27</f>
        <v>350</v>
      </c>
      <c r="O27" s="353"/>
      <c r="P27" s="145"/>
      <c r="Q27" s="204">
        <f>N27+P27</f>
        <v>350</v>
      </c>
      <c r="R27" s="355" t="s">
        <v>87</v>
      </c>
      <c r="S27" s="355"/>
      <c r="T27" s="355"/>
      <c r="U27" s="355"/>
      <c r="V27" s="355"/>
    </row>
    <row r="28" spans="1:22" ht="19.5" customHeight="1">
      <c r="A28" s="360" t="s">
        <v>88</v>
      </c>
      <c r="B28" s="360"/>
      <c r="C28" s="360"/>
      <c r="D28" s="360"/>
      <c r="E28" s="354" t="s">
        <v>85</v>
      </c>
      <c r="F28" s="354"/>
      <c r="G28" s="354" t="s">
        <v>85</v>
      </c>
      <c r="H28" s="354"/>
      <c r="I28" s="354" t="s">
        <v>86</v>
      </c>
      <c r="J28" s="354"/>
      <c r="K28" s="354"/>
      <c r="L28" s="67" t="s">
        <v>85</v>
      </c>
      <c r="M28" s="67">
        <f>M27</f>
        <v>0</v>
      </c>
      <c r="N28" s="353">
        <f>N27</f>
        <v>350</v>
      </c>
      <c r="O28" s="353"/>
      <c r="P28" s="145">
        <f>P27</f>
        <v>0</v>
      </c>
      <c r="Q28" s="204">
        <f>Q27</f>
        <v>350</v>
      </c>
      <c r="R28" s="355" t="s">
        <v>180</v>
      </c>
      <c r="S28" s="355"/>
      <c r="T28" s="355"/>
      <c r="U28" s="355"/>
      <c r="V28" s="355"/>
    </row>
    <row r="29" spans="1:22" ht="19.5" customHeight="1">
      <c r="A29" s="352" t="s">
        <v>89</v>
      </c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</row>
    <row r="30" spans="1:22" ht="35.25" customHeight="1">
      <c r="A30" s="3" t="s">
        <v>180</v>
      </c>
      <c r="B30" s="353" t="s">
        <v>292</v>
      </c>
      <c r="C30" s="353"/>
      <c r="D30" s="353"/>
      <c r="E30" s="354">
        <v>5000</v>
      </c>
      <c r="F30" s="354"/>
      <c r="G30" s="354">
        <v>4250</v>
      </c>
      <c r="H30" s="354"/>
      <c r="I30" s="354">
        <v>3151</v>
      </c>
      <c r="J30" s="354"/>
      <c r="K30" s="354"/>
      <c r="L30" s="67">
        <v>5000</v>
      </c>
      <c r="M30" s="67"/>
      <c r="N30" s="353">
        <f>5000+M30</f>
        <v>5000</v>
      </c>
      <c r="O30" s="353"/>
      <c r="P30" s="145"/>
      <c r="Q30" s="203">
        <f>N30+P30</f>
        <v>5000</v>
      </c>
      <c r="R30" s="355" t="s">
        <v>90</v>
      </c>
      <c r="S30" s="355"/>
      <c r="T30" s="355"/>
      <c r="U30" s="355"/>
      <c r="V30" s="355"/>
    </row>
    <row r="31" spans="1:22" ht="19.5" customHeight="1" hidden="1" outlineLevel="1">
      <c r="A31" s="3" t="s">
        <v>180</v>
      </c>
      <c r="B31" s="353" t="s">
        <v>292</v>
      </c>
      <c r="C31" s="353"/>
      <c r="D31" s="353"/>
      <c r="E31" s="354" t="s">
        <v>179</v>
      </c>
      <c r="F31" s="354"/>
      <c r="G31" s="354" t="s">
        <v>30</v>
      </c>
      <c r="H31" s="354"/>
      <c r="I31" s="354" t="s">
        <v>179</v>
      </c>
      <c r="J31" s="354"/>
      <c r="K31" s="354"/>
      <c r="L31" s="67" t="s">
        <v>179</v>
      </c>
      <c r="M31" s="67"/>
      <c r="N31" s="353" t="s">
        <v>180</v>
      </c>
      <c r="O31" s="353"/>
      <c r="P31" s="145"/>
      <c r="Q31" s="203"/>
      <c r="R31" s="355" t="s">
        <v>91</v>
      </c>
      <c r="S31" s="355"/>
      <c r="T31" s="355"/>
      <c r="U31" s="355"/>
      <c r="V31" s="355"/>
    </row>
    <row r="32" spans="1:22" ht="19.5" customHeight="1" collapsed="1">
      <c r="A32" s="360" t="s">
        <v>92</v>
      </c>
      <c r="B32" s="360"/>
      <c r="C32" s="360"/>
      <c r="D32" s="360"/>
      <c r="E32" s="354">
        <v>5000</v>
      </c>
      <c r="F32" s="354"/>
      <c r="G32" s="354">
        <v>4350</v>
      </c>
      <c r="H32" s="354"/>
      <c r="I32" s="354">
        <v>3151</v>
      </c>
      <c r="J32" s="354"/>
      <c r="K32" s="354"/>
      <c r="L32" s="67">
        <v>5000</v>
      </c>
      <c r="M32" s="67">
        <f>M30</f>
        <v>0</v>
      </c>
      <c r="N32" s="353">
        <f>N30</f>
        <v>5000</v>
      </c>
      <c r="O32" s="353"/>
      <c r="P32" s="145">
        <f>P30</f>
        <v>0</v>
      </c>
      <c r="Q32" s="203">
        <f>Q30</f>
        <v>5000</v>
      </c>
      <c r="R32" s="355" t="s">
        <v>180</v>
      </c>
      <c r="S32" s="355"/>
      <c r="T32" s="355"/>
      <c r="U32" s="355"/>
      <c r="V32" s="355"/>
    </row>
    <row r="33" spans="1:22" ht="19.5" customHeight="1">
      <c r="A33" s="345" t="s">
        <v>93</v>
      </c>
      <c r="B33" s="345"/>
      <c r="C33" s="345"/>
      <c r="D33" s="345"/>
      <c r="E33" s="350">
        <v>29350</v>
      </c>
      <c r="F33" s="350"/>
      <c r="G33" s="350">
        <v>22421</v>
      </c>
      <c r="H33" s="350"/>
      <c r="I33" s="350">
        <v>5286</v>
      </c>
      <c r="J33" s="350"/>
      <c r="K33" s="350"/>
      <c r="L33" s="69">
        <v>29350</v>
      </c>
      <c r="M33" s="69">
        <f>M32+M28+M25+M22</f>
        <v>0</v>
      </c>
      <c r="N33" s="349">
        <f>N32+N28+N25+N22</f>
        <v>29350</v>
      </c>
      <c r="O33" s="349"/>
      <c r="P33" s="4">
        <f>P32+P28+P22</f>
        <v>0</v>
      </c>
      <c r="Q33" s="205">
        <f>Q32+Q28+Q25+Q22</f>
        <v>29350</v>
      </c>
      <c r="R33" s="348" t="s">
        <v>180</v>
      </c>
      <c r="S33" s="348"/>
      <c r="T33" s="348"/>
      <c r="U33" s="348"/>
      <c r="V33" s="348"/>
    </row>
    <row r="34" spans="1:22" ht="19.5" customHeight="1">
      <c r="A34" s="351" t="s">
        <v>94</v>
      </c>
      <c r="B34" s="351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</row>
    <row r="35" spans="1:22" ht="19.5" customHeight="1">
      <c r="A35" s="352" t="s">
        <v>95</v>
      </c>
      <c r="B35" s="352"/>
      <c r="C35" s="352"/>
      <c r="D35" s="352"/>
      <c r="E35" s="352"/>
      <c r="F35" s="352"/>
      <c r="G35" s="352"/>
      <c r="H35" s="352"/>
      <c r="I35" s="352"/>
      <c r="J35" s="352"/>
      <c r="K35" s="352"/>
      <c r="L35" s="352"/>
      <c r="M35" s="352"/>
      <c r="N35" s="352"/>
      <c r="O35" s="352"/>
      <c r="P35" s="352"/>
      <c r="Q35" s="352"/>
      <c r="R35" s="352"/>
      <c r="S35" s="352"/>
      <c r="T35" s="352"/>
      <c r="U35" s="352"/>
      <c r="V35" s="352"/>
    </row>
    <row r="36" spans="1:22" ht="25.5" customHeight="1">
      <c r="A36" s="3" t="s">
        <v>180</v>
      </c>
      <c r="B36" s="353" t="s">
        <v>292</v>
      </c>
      <c r="C36" s="353"/>
      <c r="D36" s="353"/>
      <c r="E36" s="354">
        <v>3000</v>
      </c>
      <c r="F36" s="354"/>
      <c r="G36" s="354">
        <v>2830</v>
      </c>
      <c r="H36" s="354"/>
      <c r="I36" s="354">
        <v>2829</v>
      </c>
      <c r="J36" s="354"/>
      <c r="K36" s="354"/>
      <c r="L36" s="67">
        <v>3000</v>
      </c>
      <c r="M36" s="67"/>
      <c r="N36" s="353">
        <f>3000+M36</f>
        <v>3000</v>
      </c>
      <c r="O36" s="353"/>
      <c r="P36" s="145"/>
      <c r="Q36" s="203">
        <f>N36+P36</f>
        <v>3000</v>
      </c>
      <c r="R36" s="355" t="s">
        <v>96</v>
      </c>
      <c r="S36" s="355"/>
      <c r="T36" s="355"/>
      <c r="U36" s="355"/>
      <c r="V36" s="355"/>
    </row>
    <row r="37" spans="1:22" ht="19.5" customHeight="1">
      <c r="A37" s="360" t="s">
        <v>97</v>
      </c>
      <c r="B37" s="360"/>
      <c r="C37" s="360"/>
      <c r="D37" s="360"/>
      <c r="E37" s="354">
        <v>3000</v>
      </c>
      <c r="F37" s="354"/>
      <c r="G37" s="354">
        <v>2830</v>
      </c>
      <c r="H37" s="354"/>
      <c r="I37" s="354">
        <v>2829</v>
      </c>
      <c r="J37" s="354"/>
      <c r="K37" s="354"/>
      <c r="L37" s="67">
        <v>3000</v>
      </c>
      <c r="M37" s="67">
        <f>M36</f>
        <v>0</v>
      </c>
      <c r="N37" s="353">
        <f>N36</f>
        <v>3000</v>
      </c>
      <c r="O37" s="353"/>
      <c r="P37" s="145">
        <f>P36</f>
        <v>0</v>
      </c>
      <c r="Q37" s="203">
        <f>Q36</f>
        <v>3000</v>
      </c>
      <c r="R37" s="355" t="s">
        <v>180</v>
      </c>
      <c r="S37" s="355"/>
      <c r="T37" s="355"/>
      <c r="U37" s="355"/>
      <c r="V37" s="355"/>
    </row>
    <row r="38" spans="1:22" ht="19.5" customHeight="1">
      <c r="A38" s="352" t="s">
        <v>72</v>
      </c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  <c r="Q38" s="352"/>
      <c r="R38" s="352"/>
      <c r="S38" s="352"/>
      <c r="T38" s="352"/>
      <c r="U38" s="352"/>
      <c r="V38" s="352"/>
    </row>
    <row r="39" spans="1:22" ht="19.5" customHeight="1">
      <c r="A39" s="3" t="s">
        <v>180</v>
      </c>
      <c r="B39" s="353" t="s">
        <v>292</v>
      </c>
      <c r="C39" s="353"/>
      <c r="D39" s="353"/>
      <c r="E39" s="354">
        <v>2430</v>
      </c>
      <c r="F39" s="354"/>
      <c r="G39" s="354">
        <v>2970</v>
      </c>
      <c r="H39" s="354"/>
      <c r="I39" s="354">
        <v>2339</v>
      </c>
      <c r="J39" s="354"/>
      <c r="K39" s="354"/>
      <c r="L39" s="67">
        <v>2430</v>
      </c>
      <c r="M39" s="67"/>
      <c r="N39" s="353">
        <f>2430+M39</f>
        <v>2430</v>
      </c>
      <c r="O39" s="353"/>
      <c r="P39" s="145"/>
      <c r="Q39" s="203">
        <f>N39+P39</f>
        <v>2430</v>
      </c>
      <c r="R39" s="355" t="s">
        <v>245</v>
      </c>
      <c r="S39" s="355"/>
      <c r="T39" s="355"/>
      <c r="U39" s="355"/>
      <c r="V39" s="355"/>
    </row>
    <row r="40" spans="1:22" ht="19.5" customHeight="1">
      <c r="A40" s="360" t="s">
        <v>77</v>
      </c>
      <c r="B40" s="360"/>
      <c r="C40" s="360"/>
      <c r="D40" s="360"/>
      <c r="E40" s="354">
        <v>2430</v>
      </c>
      <c r="F40" s="354"/>
      <c r="G40" s="354">
        <v>2970</v>
      </c>
      <c r="H40" s="354"/>
      <c r="I40" s="354">
        <v>2339</v>
      </c>
      <c r="J40" s="354"/>
      <c r="K40" s="354"/>
      <c r="L40" s="67">
        <v>2430</v>
      </c>
      <c r="M40" s="67">
        <f>M39</f>
        <v>0</v>
      </c>
      <c r="N40" s="353">
        <f>N39</f>
        <v>2430</v>
      </c>
      <c r="O40" s="353"/>
      <c r="P40" s="145">
        <f>P39</f>
        <v>0</v>
      </c>
      <c r="Q40" s="203">
        <f>Q39</f>
        <v>2430</v>
      </c>
      <c r="R40" s="355" t="s">
        <v>180</v>
      </c>
      <c r="S40" s="355"/>
      <c r="T40" s="355"/>
      <c r="U40" s="355"/>
      <c r="V40" s="355"/>
    </row>
    <row r="41" spans="1:22" ht="29.25" customHeight="1">
      <c r="A41" s="345" t="s">
        <v>246</v>
      </c>
      <c r="B41" s="345"/>
      <c r="C41" s="345"/>
      <c r="D41" s="345"/>
      <c r="E41" s="350">
        <v>5430</v>
      </c>
      <c r="F41" s="350"/>
      <c r="G41" s="350">
        <v>5800</v>
      </c>
      <c r="H41" s="350"/>
      <c r="I41" s="350">
        <v>5168</v>
      </c>
      <c r="J41" s="350"/>
      <c r="K41" s="350"/>
      <c r="L41" s="69">
        <v>5430</v>
      </c>
      <c r="M41" s="69">
        <f>M40+M37</f>
        <v>0</v>
      </c>
      <c r="N41" s="349">
        <f>N40+N37</f>
        <v>5430</v>
      </c>
      <c r="O41" s="349"/>
      <c r="P41" s="4">
        <f>P40+P37</f>
        <v>0</v>
      </c>
      <c r="Q41" s="205">
        <f>Q40+Q37</f>
        <v>5430</v>
      </c>
      <c r="R41" s="348" t="s">
        <v>180</v>
      </c>
      <c r="S41" s="348"/>
      <c r="T41" s="348"/>
      <c r="U41" s="348"/>
      <c r="V41" s="348"/>
    </row>
    <row r="42" spans="1:22" ht="19.5" customHeight="1">
      <c r="A42" s="351" t="s">
        <v>247</v>
      </c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</row>
    <row r="43" spans="1:22" ht="19.5" customHeight="1">
      <c r="A43" s="352" t="s">
        <v>248</v>
      </c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  <c r="S43" s="352"/>
      <c r="T43" s="352"/>
      <c r="U43" s="352"/>
      <c r="V43" s="352"/>
    </row>
    <row r="44" spans="1:22" ht="19.5" customHeight="1">
      <c r="A44" s="3" t="s">
        <v>180</v>
      </c>
      <c r="B44" s="353" t="s">
        <v>292</v>
      </c>
      <c r="C44" s="353"/>
      <c r="D44" s="353"/>
      <c r="E44" s="354" t="s">
        <v>179</v>
      </c>
      <c r="F44" s="354"/>
      <c r="G44" s="354" t="s">
        <v>179</v>
      </c>
      <c r="H44" s="354"/>
      <c r="I44" s="354" t="s">
        <v>179</v>
      </c>
      <c r="J44" s="354"/>
      <c r="K44" s="354"/>
      <c r="L44" s="67" t="s">
        <v>249</v>
      </c>
      <c r="M44" s="67"/>
      <c r="N44" s="353">
        <f>L44+M44</f>
        <v>550</v>
      </c>
      <c r="O44" s="353"/>
      <c r="P44" s="145"/>
      <c r="Q44" s="204">
        <f>N44+P44</f>
        <v>550</v>
      </c>
      <c r="R44" s="355" t="s">
        <v>250</v>
      </c>
      <c r="S44" s="355"/>
      <c r="T44" s="355"/>
      <c r="U44" s="355"/>
      <c r="V44" s="355"/>
    </row>
    <row r="45" spans="1:22" ht="19.5" customHeight="1">
      <c r="A45" s="360" t="s">
        <v>251</v>
      </c>
      <c r="B45" s="360"/>
      <c r="C45" s="360"/>
      <c r="D45" s="360"/>
      <c r="E45" s="354" t="s">
        <v>179</v>
      </c>
      <c r="F45" s="354"/>
      <c r="G45" s="354" t="s">
        <v>179</v>
      </c>
      <c r="H45" s="354"/>
      <c r="I45" s="354" t="s">
        <v>179</v>
      </c>
      <c r="J45" s="354"/>
      <c r="K45" s="354"/>
      <c r="L45" s="67" t="s">
        <v>249</v>
      </c>
      <c r="M45" s="67">
        <f>M44</f>
        <v>0</v>
      </c>
      <c r="N45" s="353">
        <f>N44</f>
        <v>550</v>
      </c>
      <c r="O45" s="353"/>
      <c r="P45" s="145">
        <f>P44</f>
        <v>0</v>
      </c>
      <c r="Q45" s="204">
        <f>Q44</f>
        <v>550</v>
      </c>
      <c r="R45" s="355" t="s">
        <v>180</v>
      </c>
      <c r="S45" s="355"/>
      <c r="T45" s="355"/>
      <c r="U45" s="355"/>
      <c r="V45" s="355"/>
    </row>
    <row r="46" spans="1:22" ht="19.5" customHeight="1">
      <c r="A46" s="345" t="s">
        <v>252</v>
      </c>
      <c r="B46" s="345"/>
      <c r="C46" s="345"/>
      <c r="D46" s="345"/>
      <c r="E46" s="350" t="s">
        <v>179</v>
      </c>
      <c r="F46" s="350"/>
      <c r="G46" s="350" t="s">
        <v>179</v>
      </c>
      <c r="H46" s="350"/>
      <c r="I46" s="350" t="s">
        <v>179</v>
      </c>
      <c r="J46" s="350"/>
      <c r="K46" s="350"/>
      <c r="L46" s="69" t="s">
        <v>249</v>
      </c>
      <c r="M46" s="69">
        <f>M45</f>
        <v>0</v>
      </c>
      <c r="N46" s="347">
        <f>N45</f>
        <v>550</v>
      </c>
      <c r="O46" s="347"/>
      <c r="P46" s="147">
        <f>P45</f>
        <v>0</v>
      </c>
      <c r="Q46" s="209">
        <f>Q45</f>
        <v>550</v>
      </c>
      <c r="R46" s="348" t="s">
        <v>180</v>
      </c>
      <c r="S46" s="348"/>
      <c r="T46" s="348"/>
      <c r="U46" s="348"/>
      <c r="V46" s="348"/>
    </row>
    <row r="47" spans="1:22" ht="19.5" customHeight="1">
      <c r="A47" s="351" t="s">
        <v>253</v>
      </c>
      <c r="B47" s="351"/>
      <c r="C47" s="351"/>
      <c r="D47" s="351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1"/>
      <c r="V47" s="351"/>
    </row>
    <row r="48" spans="1:22" ht="19.5" customHeight="1">
      <c r="A48" s="352" t="s">
        <v>254</v>
      </c>
      <c r="B48" s="352"/>
      <c r="C48" s="352"/>
      <c r="D48" s="352"/>
      <c r="E48" s="352"/>
      <c r="F48" s="352"/>
      <c r="G48" s="352"/>
      <c r="H48" s="352"/>
      <c r="I48" s="352"/>
      <c r="J48" s="352"/>
      <c r="K48" s="352"/>
      <c r="L48" s="352"/>
      <c r="M48" s="352"/>
      <c r="N48" s="352"/>
      <c r="O48" s="352"/>
      <c r="P48" s="352"/>
      <c r="Q48" s="352"/>
      <c r="R48" s="352"/>
      <c r="S48" s="352"/>
      <c r="T48" s="352"/>
      <c r="U48" s="352"/>
      <c r="V48" s="352"/>
    </row>
    <row r="49" spans="1:22" ht="19.5" customHeight="1">
      <c r="A49" s="3" t="s">
        <v>180</v>
      </c>
      <c r="B49" s="353" t="s">
        <v>166</v>
      </c>
      <c r="C49" s="353"/>
      <c r="D49" s="353"/>
      <c r="E49" s="354" t="s">
        <v>179</v>
      </c>
      <c r="F49" s="354"/>
      <c r="G49" s="354" t="s">
        <v>179</v>
      </c>
      <c r="H49" s="354"/>
      <c r="I49" s="354" t="s">
        <v>179</v>
      </c>
      <c r="J49" s="354"/>
      <c r="K49" s="354"/>
      <c r="L49" s="67">
        <v>2340</v>
      </c>
      <c r="M49" s="67"/>
      <c r="N49" s="353">
        <f>2340+M49</f>
        <v>2340</v>
      </c>
      <c r="O49" s="353"/>
      <c r="P49" s="145"/>
      <c r="Q49" s="203">
        <f>N49+P49</f>
        <v>2340</v>
      </c>
      <c r="R49" s="355" t="s">
        <v>255</v>
      </c>
      <c r="S49" s="355"/>
      <c r="T49" s="355"/>
      <c r="U49" s="355"/>
      <c r="V49" s="355"/>
    </row>
    <row r="50" spans="1:22" ht="19.5" customHeight="1">
      <c r="A50" s="360" t="s">
        <v>256</v>
      </c>
      <c r="B50" s="360"/>
      <c r="C50" s="360"/>
      <c r="D50" s="360"/>
      <c r="E50" s="354" t="s">
        <v>179</v>
      </c>
      <c r="F50" s="354"/>
      <c r="G50" s="354" t="s">
        <v>179</v>
      </c>
      <c r="H50" s="354"/>
      <c r="I50" s="354" t="s">
        <v>179</v>
      </c>
      <c r="J50" s="354"/>
      <c r="K50" s="354"/>
      <c r="L50" s="67">
        <v>2340</v>
      </c>
      <c r="M50" s="67">
        <f>M49</f>
        <v>0</v>
      </c>
      <c r="N50" s="353">
        <f>N49</f>
        <v>2340</v>
      </c>
      <c r="O50" s="353"/>
      <c r="P50" s="145">
        <f>P49</f>
        <v>0</v>
      </c>
      <c r="Q50" s="203">
        <f>Q49</f>
        <v>2340</v>
      </c>
      <c r="R50" s="355" t="s">
        <v>180</v>
      </c>
      <c r="S50" s="355"/>
      <c r="T50" s="355"/>
      <c r="U50" s="355"/>
      <c r="V50" s="355"/>
    </row>
    <row r="51" spans="1:22" ht="31.5" customHeight="1">
      <c r="A51" s="345" t="s">
        <v>257</v>
      </c>
      <c r="B51" s="345"/>
      <c r="C51" s="345"/>
      <c r="D51" s="345"/>
      <c r="E51" s="350" t="s">
        <v>179</v>
      </c>
      <c r="F51" s="350"/>
      <c r="G51" s="350" t="s">
        <v>179</v>
      </c>
      <c r="H51" s="350"/>
      <c r="I51" s="350" t="s">
        <v>179</v>
      </c>
      <c r="J51" s="350"/>
      <c r="K51" s="350"/>
      <c r="L51" s="69">
        <v>2340</v>
      </c>
      <c r="M51" s="69">
        <f>M50</f>
        <v>0</v>
      </c>
      <c r="N51" s="349">
        <f>N50</f>
        <v>2340</v>
      </c>
      <c r="O51" s="349"/>
      <c r="P51" s="4">
        <f>P50</f>
        <v>0</v>
      </c>
      <c r="Q51" s="205">
        <f>Q50</f>
        <v>2340</v>
      </c>
      <c r="R51" s="348" t="s">
        <v>180</v>
      </c>
      <c r="S51" s="348"/>
      <c r="T51" s="348"/>
      <c r="U51" s="348"/>
      <c r="V51" s="348"/>
    </row>
    <row r="52" spans="1:22" ht="19.5" customHeight="1">
      <c r="A52" s="351" t="s">
        <v>258</v>
      </c>
      <c r="B52" s="351"/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</row>
    <row r="53" spans="1:22" ht="19.5" customHeight="1">
      <c r="A53" s="352" t="s">
        <v>259</v>
      </c>
      <c r="B53" s="352"/>
      <c r="C53" s="352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2"/>
      <c r="Q53" s="352"/>
      <c r="R53" s="352"/>
      <c r="S53" s="352"/>
      <c r="T53" s="352"/>
      <c r="U53" s="352"/>
      <c r="V53" s="352"/>
    </row>
    <row r="54" spans="1:22" ht="19.5" customHeight="1">
      <c r="A54" s="3" t="s">
        <v>180</v>
      </c>
      <c r="B54" s="353" t="s">
        <v>292</v>
      </c>
      <c r="C54" s="353"/>
      <c r="D54" s="353"/>
      <c r="E54" s="354" t="s">
        <v>260</v>
      </c>
      <c r="F54" s="354"/>
      <c r="G54" s="354" t="s">
        <v>260</v>
      </c>
      <c r="H54" s="354"/>
      <c r="I54" s="354" t="s">
        <v>179</v>
      </c>
      <c r="J54" s="354"/>
      <c r="K54" s="354"/>
      <c r="L54" s="67" t="s">
        <v>260</v>
      </c>
      <c r="M54" s="67"/>
      <c r="N54" s="353">
        <f>L54+M54</f>
        <v>50</v>
      </c>
      <c r="O54" s="353"/>
      <c r="P54" s="145"/>
      <c r="Q54" s="204">
        <f>N54+P54</f>
        <v>50</v>
      </c>
      <c r="R54" s="355" t="s">
        <v>261</v>
      </c>
      <c r="S54" s="355"/>
      <c r="T54" s="355"/>
      <c r="U54" s="355"/>
      <c r="V54" s="355"/>
    </row>
    <row r="55" spans="1:22" ht="19.5" customHeight="1">
      <c r="A55" s="360" t="s">
        <v>262</v>
      </c>
      <c r="B55" s="360"/>
      <c r="C55" s="360"/>
      <c r="D55" s="360"/>
      <c r="E55" s="354" t="s">
        <v>260</v>
      </c>
      <c r="F55" s="354"/>
      <c r="G55" s="354" t="s">
        <v>260</v>
      </c>
      <c r="H55" s="354"/>
      <c r="I55" s="354" t="s">
        <v>179</v>
      </c>
      <c r="J55" s="354"/>
      <c r="K55" s="354"/>
      <c r="L55" s="67" t="s">
        <v>260</v>
      </c>
      <c r="M55" s="67">
        <f>M54</f>
        <v>0</v>
      </c>
      <c r="N55" s="353">
        <f>N54</f>
        <v>50</v>
      </c>
      <c r="O55" s="353"/>
      <c r="P55" s="145">
        <f>P54</f>
        <v>0</v>
      </c>
      <c r="Q55" s="204">
        <f>Q54</f>
        <v>50</v>
      </c>
      <c r="R55" s="355" t="s">
        <v>180</v>
      </c>
      <c r="S55" s="355"/>
      <c r="T55" s="355"/>
      <c r="U55" s="355"/>
      <c r="V55" s="355"/>
    </row>
    <row r="56" spans="1:22" ht="19.5" customHeight="1">
      <c r="A56" s="352" t="s">
        <v>12</v>
      </c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</row>
    <row r="57" spans="1:22" ht="19.5" customHeight="1">
      <c r="A57" s="3" t="s">
        <v>180</v>
      </c>
      <c r="B57" s="353" t="s">
        <v>292</v>
      </c>
      <c r="C57" s="353"/>
      <c r="D57" s="353"/>
      <c r="E57" s="354" t="s">
        <v>263</v>
      </c>
      <c r="F57" s="354"/>
      <c r="G57" s="354" t="s">
        <v>263</v>
      </c>
      <c r="H57" s="354"/>
      <c r="I57" s="354" t="s">
        <v>264</v>
      </c>
      <c r="J57" s="354"/>
      <c r="K57" s="354"/>
      <c r="L57" s="67" t="s">
        <v>265</v>
      </c>
      <c r="M57" s="67"/>
      <c r="N57" s="353">
        <f>L57+M57</f>
        <v>480</v>
      </c>
      <c r="O57" s="353"/>
      <c r="P57" s="145"/>
      <c r="Q57" s="204">
        <f>N57+P57</f>
        <v>480</v>
      </c>
      <c r="R57" s="355" t="s">
        <v>266</v>
      </c>
      <c r="S57" s="355"/>
      <c r="T57" s="355"/>
      <c r="U57" s="355"/>
      <c r="V57" s="355"/>
    </row>
    <row r="58" spans="1:22" ht="19.5" customHeight="1">
      <c r="A58" s="360" t="s">
        <v>13</v>
      </c>
      <c r="B58" s="360"/>
      <c r="C58" s="360"/>
      <c r="D58" s="360"/>
      <c r="E58" s="354" t="s">
        <v>263</v>
      </c>
      <c r="F58" s="354"/>
      <c r="G58" s="354" t="s">
        <v>263</v>
      </c>
      <c r="H58" s="354"/>
      <c r="I58" s="354" t="s">
        <v>264</v>
      </c>
      <c r="J58" s="354"/>
      <c r="K58" s="354"/>
      <c r="L58" s="67" t="s">
        <v>265</v>
      </c>
      <c r="M58" s="67">
        <f>M57</f>
        <v>0</v>
      </c>
      <c r="N58" s="353">
        <f>N57</f>
        <v>480</v>
      </c>
      <c r="O58" s="353"/>
      <c r="P58" s="145">
        <f>P57</f>
        <v>0</v>
      </c>
      <c r="Q58" s="204">
        <f>Q57</f>
        <v>480</v>
      </c>
      <c r="R58" s="355" t="s">
        <v>180</v>
      </c>
      <c r="S58" s="355"/>
      <c r="T58" s="355"/>
      <c r="U58" s="355"/>
      <c r="V58" s="355"/>
    </row>
    <row r="59" spans="1:22" ht="19.5" customHeight="1">
      <c r="A59" s="352" t="s">
        <v>267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</row>
    <row r="60" spans="1:22" ht="32.25" customHeight="1">
      <c r="A60" s="3" t="s">
        <v>180</v>
      </c>
      <c r="B60" s="353" t="s">
        <v>292</v>
      </c>
      <c r="C60" s="353"/>
      <c r="D60" s="353"/>
      <c r="E60" s="354">
        <v>1260</v>
      </c>
      <c r="F60" s="354"/>
      <c r="G60" s="354">
        <v>1186</v>
      </c>
      <c r="H60" s="354"/>
      <c r="I60" s="354" t="s">
        <v>268</v>
      </c>
      <c r="J60" s="354"/>
      <c r="K60" s="354"/>
      <c r="L60" s="67" t="s">
        <v>269</v>
      </c>
      <c r="M60" s="67"/>
      <c r="N60" s="353">
        <f>L60+M60</f>
        <v>725</v>
      </c>
      <c r="O60" s="353"/>
      <c r="P60" s="145"/>
      <c r="Q60" s="204">
        <f>N60+P60</f>
        <v>725</v>
      </c>
      <c r="R60" s="355" t="s">
        <v>270</v>
      </c>
      <c r="S60" s="355"/>
      <c r="T60" s="355"/>
      <c r="U60" s="355"/>
      <c r="V60" s="355"/>
    </row>
    <row r="61" spans="1:22" ht="19.5" customHeight="1">
      <c r="A61" s="360" t="s">
        <v>271</v>
      </c>
      <c r="B61" s="360"/>
      <c r="C61" s="360"/>
      <c r="D61" s="360"/>
      <c r="E61" s="354">
        <v>1260</v>
      </c>
      <c r="F61" s="354"/>
      <c r="G61" s="354">
        <v>1186</v>
      </c>
      <c r="H61" s="354"/>
      <c r="I61" s="354" t="s">
        <v>268</v>
      </c>
      <c r="J61" s="354"/>
      <c r="K61" s="354"/>
      <c r="L61" s="67" t="s">
        <v>269</v>
      </c>
      <c r="M61" s="67">
        <f>M60</f>
        <v>0</v>
      </c>
      <c r="N61" s="353">
        <f>N60</f>
        <v>725</v>
      </c>
      <c r="O61" s="353"/>
      <c r="P61" s="145">
        <f>P60</f>
        <v>0</v>
      </c>
      <c r="Q61" s="204">
        <f>Q60</f>
        <v>725</v>
      </c>
      <c r="R61" s="355" t="s">
        <v>180</v>
      </c>
      <c r="S61" s="355"/>
      <c r="T61" s="355"/>
      <c r="U61" s="355"/>
      <c r="V61" s="355"/>
    </row>
    <row r="62" spans="1:22" ht="19.5" customHeight="1">
      <c r="A62" s="352" t="s">
        <v>272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</row>
    <row r="63" spans="1:22" ht="23.25" customHeight="1">
      <c r="A63" s="3" t="s">
        <v>180</v>
      </c>
      <c r="B63" s="353" t="s">
        <v>292</v>
      </c>
      <c r="C63" s="353"/>
      <c r="D63" s="353"/>
      <c r="E63" s="354" t="s">
        <v>30</v>
      </c>
      <c r="F63" s="354"/>
      <c r="G63" s="354" t="s">
        <v>30</v>
      </c>
      <c r="H63" s="354"/>
      <c r="I63" s="354" t="s">
        <v>273</v>
      </c>
      <c r="J63" s="354"/>
      <c r="K63" s="354"/>
      <c r="L63" s="67" t="s">
        <v>274</v>
      </c>
      <c r="M63" s="67"/>
      <c r="N63" s="353">
        <f>L63+M63</f>
        <v>450</v>
      </c>
      <c r="O63" s="353"/>
      <c r="P63" s="145"/>
      <c r="Q63" s="204">
        <f>N63+P63</f>
        <v>450</v>
      </c>
      <c r="R63" s="355" t="s">
        <v>275</v>
      </c>
      <c r="S63" s="355"/>
      <c r="T63" s="355"/>
      <c r="U63" s="355"/>
      <c r="V63" s="355"/>
    </row>
    <row r="64" spans="1:22" ht="19.5" customHeight="1">
      <c r="A64" s="360" t="s">
        <v>276</v>
      </c>
      <c r="B64" s="360"/>
      <c r="C64" s="360"/>
      <c r="D64" s="360"/>
      <c r="E64" s="354" t="s">
        <v>30</v>
      </c>
      <c r="F64" s="354"/>
      <c r="G64" s="354" t="s">
        <v>30</v>
      </c>
      <c r="H64" s="354"/>
      <c r="I64" s="354" t="s">
        <v>273</v>
      </c>
      <c r="J64" s="354"/>
      <c r="K64" s="354"/>
      <c r="L64" s="67" t="s">
        <v>274</v>
      </c>
      <c r="M64" s="67">
        <f>M63</f>
        <v>0</v>
      </c>
      <c r="N64" s="353">
        <f>N63</f>
        <v>450</v>
      </c>
      <c r="O64" s="353"/>
      <c r="P64" s="145">
        <f>P63</f>
        <v>0</v>
      </c>
      <c r="Q64" s="204">
        <f>Q63</f>
        <v>450</v>
      </c>
      <c r="R64" s="355" t="s">
        <v>180</v>
      </c>
      <c r="S64" s="355"/>
      <c r="T64" s="355"/>
      <c r="U64" s="355"/>
      <c r="V64" s="355"/>
    </row>
    <row r="65" spans="1:22" ht="19.5" customHeight="1">
      <c r="A65" s="352" t="s">
        <v>16</v>
      </c>
      <c r="B65" s="352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</row>
    <row r="66" spans="1:22" ht="19.5" customHeight="1">
      <c r="A66" s="3" t="s">
        <v>180</v>
      </c>
      <c r="B66" s="353" t="s">
        <v>292</v>
      </c>
      <c r="C66" s="353"/>
      <c r="D66" s="353"/>
      <c r="E66" s="354" t="s">
        <v>277</v>
      </c>
      <c r="F66" s="354"/>
      <c r="G66" s="354" t="s">
        <v>278</v>
      </c>
      <c r="H66" s="354"/>
      <c r="I66" s="354" t="s">
        <v>279</v>
      </c>
      <c r="J66" s="354"/>
      <c r="K66" s="354"/>
      <c r="L66" s="67" t="s">
        <v>277</v>
      </c>
      <c r="M66" s="67"/>
      <c r="N66" s="353">
        <f>L66+M66</f>
        <v>70</v>
      </c>
      <c r="O66" s="353"/>
      <c r="P66" s="145"/>
      <c r="Q66" s="204">
        <f>N66+P66</f>
        <v>70</v>
      </c>
      <c r="R66" s="355" t="s">
        <v>280</v>
      </c>
      <c r="S66" s="355"/>
      <c r="T66" s="355"/>
      <c r="U66" s="355"/>
      <c r="V66" s="355"/>
    </row>
    <row r="67" spans="1:22" ht="19.5" customHeight="1">
      <c r="A67" s="360" t="s">
        <v>19</v>
      </c>
      <c r="B67" s="360"/>
      <c r="C67" s="360"/>
      <c r="D67" s="360"/>
      <c r="E67" s="354" t="s">
        <v>277</v>
      </c>
      <c r="F67" s="354"/>
      <c r="G67" s="354" t="s">
        <v>278</v>
      </c>
      <c r="H67" s="354"/>
      <c r="I67" s="354" t="s">
        <v>279</v>
      </c>
      <c r="J67" s="354"/>
      <c r="K67" s="354"/>
      <c r="L67" s="67" t="s">
        <v>277</v>
      </c>
      <c r="M67" s="67">
        <f>M66</f>
        <v>0</v>
      </c>
      <c r="N67" s="353">
        <f>N66</f>
        <v>70</v>
      </c>
      <c r="O67" s="353"/>
      <c r="P67" s="145">
        <f>P66</f>
        <v>0</v>
      </c>
      <c r="Q67" s="204">
        <f>Q66</f>
        <v>70</v>
      </c>
      <c r="R67" s="355" t="s">
        <v>180</v>
      </c>
      <c r="S67" s="355"/>
      <c r="T67" s="355"/>
      <c r="U67" s="355"/>
      <c r="V67" s="355"/>
    </row>
    <row r="68" spans="1:22" ht="19.5" customHeight="1">
      <c r="A68" s="352" t="s">
        <v>281</v>
      </c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</row>
    <row r="69" spans="1:22" ht="60" customHeight="1">
      <c r="A69" s="3" t="s">
        <v>180</v>
      </c>
      <c r="B69" s="353" t="s">
        <v>292</v>
      </c>
      <c r="C69" s="353"/>
      <c r="D69" s="353"/>
      <c r="E69" s="354">
        <v>1100</v>
      </c>
      <c r="F69" s="354"/>
      <c r="G69" s="354">
        <v>1020</v>
      </c>
      <c r="H69" s="354"/>
      <c r="I69" s="354" t="s">
        <v>116</v>
      </c>
      <c r="J69" s="354"/>
      <c r="K69" s="354"/>
      <c r="L69" s="67" t="s">
        <v>203</v>
      </c>
      <c r="M69" s="67"/>
      <c r="N69" s="353">
        <f>L69+M69</f>
        <v>900</v>
      </c>
      <c r="O69" s="353"/>
      <c r="P69" s="145"/>
      <c r="Q69" s="204">
        <f>N69+P69</f>
        <v>900</v>
      </c>
      <c r="R69" s="355" t="s">
        <v>369</v>
      </c>
      <c r="S69" s="355"/>
      <c r="T69" s="355"/>
      <c r="U69" s="355"/>
      <c r="V69" s="355"/>
    </row>
    <row r="70" spans="1:22" ht="19.5" customHeight="1">
      <c r="A70" s="360" t="s">
        <v>117</v>
      </c>
      <c r="B70" s="360"/>
      <c r="C70" s="360"/>
      <c r="D70" s="360"/>
      <c r="E70" s="354">
        <v>1100</v>
      </c>
      <c r="F70" s="354"/>
      <c r="G70" s="354">
        <v>1020</v>
      </c>
      <c r="H70" s="354"/>
      <c r="I70" s="354" t="s">
        <v>116</v>
      </c>
      <c r="J70" s="354"/>
      <c r="K70" s="354"/>
      <c r="L70" s="67" t="s">
        <v>203</v>
      </c>
      <c r="M70" s="67">
        <f>M69</f>
        <v>0</v>
      </c>
      <c r="N70" s="353">
        <f>N69</f>
        <v>900</v>
      </c>
      <c r="O70" s="353"/>
      <c r="P70" s="145">
        <f>P69</f>
        <v>0</v>
      </c>
      <c r="Q70" s="204">
        <f>Q69</f>
        <v>900</v>
      </c>
      <c r="R70" s="355" t="s">
        <v>180</v>
      </c>
      <c r="S70" s="355"/>
      <c r="T70" s="355"/>
      <c r="U70" s="355"/>
      <c r="V70" s="355"/>
    </row>
    <row r="71" spans="1:22" ht="19.5" customHeight="1">
      <c r="A71" s="345" t="s">
        <v>118</v>
      </c>
      <c r="B71" s="345"/>
      <c r="C71" s="345"/>
      <c r="D71" s="345"/>
      <c r="E71" s="350">
        <v>3070</v>
      </c>
      <c r="F71" s="350"/>
      <c r="G71" s="350">
        <v>2926</v>
      </c>
      <c r="H71" s="350"/>
      <c r="I71" s="350">
        <v>1462</v>
      </c>
      <c r="J71" s="350"/>
      <c r="K71" s="350"/>
      <c r="L71" s="69">
        <v>2675</v>
      </c>
      <c r="M71" s="69">
        <f>M70+M67+M64+M61+M58+M55</f>
        <v>0</v>
      </c>
      <c r="N71" s="349">
        <f>N70+N67+N64+N61+N58+N55</f>
        <v>2675</v>
      </c>
      <c r="O71" s="349"/>
      <c r="P71" s="4">
        <f>P70+P67+P64+P61+P58+P55</f>
        <v>0</v>
      </c>
      <c r="Q71" s="205">
        <f>Q70+Q67+Q64+Q61+Q58+Q55</f>
        <v>2675</v>
      </c>
      <c r="R71" s="348" t="s">
        <v>180</v>
      </c>
      <c r="S71" s="348"/>
      <c r="T71" s="348"/>
      <c r="U71" s="348"/>
      <c r="V71" s="348"/>
    </row>
    <row r="72" spans="1:22" ht="19.5" customHeight="1">
      <c r="A72" s="345" t="s">
        <v>322</v>
      </c>
      <c r="B72" s="345"/>
      <c r="C72" s="345"/>
      <c r="D72" s="345"/>
      <c r="E72" s="346">
        <v>54075</v>
      </c>
      <c r="F72" s="346"/>
      <c r="G72" s="346">
        <v>46210</v>
      </c>
      <c r="H72" s="346"/>
      <c r="I72" s="346">
        <v>14686</v>
      </c>
      <c r="J72" s="346"/>
      <c r="K72" s="346"/>
      <c r="L72" s="68">
        <v>45357</v>
      </c>
      <c r="M72" s="68" t="e">
        <f>#REF!+M71+M51+M46+M41+M33+M18</f>
        <v>#REF!</v>
      </c>
      <c r="N72" s="349">
        <f>N71+N51+N46+N41+N33+N18</f>
        <v>45357</v>
      </c>
      <c r="O72" s="347"/>
      <c r="P72" s="4">
        <f>P71+P51+P46+P41+P33+P18</f>
        <v>0</v>
      </c>
      <c r="Q72" s="208">
        <f>Q71+Q51+Q46+Q41+Q33+Q18</f>
        <v>45357</v>
      </c>
      <c r="R72" s="348" t="s">
        <v>180</v>
      </c>
      <c r="S72" s="348"/>
      <c r="T72" s="348"/>
      <c r="U72" s="348"/>
      <c r="V72" s="348"/>
    </row>
  </sheetData>
  <sheetProtection/>
  <mergeCells count="312">
    <mergeCell ref="N72:O72"/>
    <mergeCell ref="R72:V72"/>
    <mergeCell ref="A72:D72"/>
    <mergeCell ref="E72:F72"/>
    <mergeCell ref="G72:H72"/>
    <mergeCell ref="I72:K72"/>
    <mergeCell ref="N71:O71"/>
    <mergeCell ref="R71:V71"/>
    <mergeCell ref="A71:D71"/>
    <mergeCell ref="E71:F71"/>
    <mergeCell ref="G71:H71"/>
    <mergeCell ref="I71:K71"/>
    <mergeCell ref="N69:O69"/>
    <mergeCell ref="I67:K67"/>
    <mergeCell ref="R69:V69"/>
    <mergeCell ref="R67:V67"/>
    <mergeCell ref="A68:V68"/>
    <mergeCell ref="B69:D69"/>
    <mergeCell ref="E69:F69"/>
    <mergeCell ref="G69:H69"/>
    <mergeCell ref="N67:O67"/>
    <mergeCell ref="I69:K69"/>
    <mergeCell ref="R70:V70"/>
    <mergeCell ref="A70:D70"/>
    <mergeCell ref="E70:F70"/>
    <mergeCell ref="G70:H70"/>
    <mergeCell ref="I70:K70"/>
    <mergeCell ref="N70:O70"/>
    <mergeCell ref="R66:V66"/>
    <mergeCell ref="N64:O64"/>
    <mergeCell ref="R64:V64"/>
    <mergeCell ref="A65:V65"/>
    <mergeCell ref="B66:D66"/>
    <mergeCell ref="A64:D64"/>
    <mergeCell ref="E64:F64"/>
    <mergeCell ref="G64:H64"/>
    <mergeCell ref="N66:O66"/>
    <mergeCell ref="A67:D67"/>
    <mergeCell ref="E67:F67"/>
    <mergeCell ref="G67:H67"/>
    <mergeCell ref="N58:O58"/>
    <mergeCell ref="G58:H58"/>
    <mergeCell ref="I58:K58"/>
    <mergeCell ref="E66:F66"/>
    <mergeCell ref="G66:H66"/>
    <mergeCell ref="I66:K66"/>
    <mergeCell ref="A62:V62"/>
    <mergeCell ref="B63:D63"/>
    <mergeCell ref="E63:F63"/>
    <mergeCell ref="I64:K64"/>
    <mergeCell ref="N61:O61"/>
    <mergeCell ref="A61:D61"/>
    <mergeCell ref="E61:F61"/>
    <mergeCell ref="G61:H61"/>
    <mergeCell ref="I61:K61"/>
    <mergeCell ref="R63:V63"/>
    <mergeCell ref="R61:V61"/>
    <mergeCell ref="G63:H63"/>
    <mergeCell ref="I63:K63"/>
    <mergeCell ref="N63:O63"/>
    <mergeCell ref="R58:V58"/>
    <mergeCell ref="A59:V59"/>
    <mergeCell ref="B60:D60"/>
    <mergeCell ref="E60:F60"/>
    <mergeCell ref="G60:H60"/>
    <mergeCell ref="I60:K60"/>
    <mergeCell ref="N60:O60"/>
    <mergeCell ref="R60:V60"/>
    <mergeCell ref="A58:D58"/>
    <mergeCell ref="E58:F58"/>
    <mergeCell ref="A56:V56"/>
    <mergeCell ref="B57:D57"/>
    <mergeCell ref="E57:F57"/>
    <mergeCell ref="G57:H57"/>
    <mergeCell ref="I57:K57"/>
    <mergeCell ref="N57:O57"/>
    <mergeCell ref="R57:V57"/>
    <mergeCell ref="E54:F54"/>
    <mergeCell ref="G54:H54"/>
    <mergeCell ref="I54:K54"/>
    <mergeCell ref="N54:O54"/>
    <mergeCell ref="E55:F55"/>
    <mergeCell ref="G55:H55"/>
    <mergeCell ref="I55:K55"/>
    <mergeCell ref="A52:V52"/>
    <mergeCell ref="A53:V53"/>
    <mergeCell ref="B54:D54"/>
    <mergeCell ref="R54:V54"/>
    <mergeCell ref="N55:O55"/>
    <mergeCell ref="R55:V55"/>
    <mergeCell ref="A55:D55"/>
    <mergeCell ref="R50:V50"/>
    <mergeCell ref="A51:D51"/>
    <mergeCell ref="E51:F51"/>
    <mergeCell ref="G51:H51"/>
    <mergeCell ref="A50:D50"/>
    <mergeCell ref="I51:K51"/>
    <mergeCell ref="N51:O51"/>
    <mergeCell ref="R51:V51"/>
    <mergeCell ref="A46:D46"/>
    <mergeCell ref="E46:F46"/>
    <mergeCell ref="G46:H46"/>
    <mergeCell ref="B49:D49"/>
    <mergeCell ref="E49:F49"/>
    <mergeCell ref="G49:H49"/>
    <mergeCell ref="N44:O44"/>
    <mergeCell ref="I46:K46"/>
    <mergeCell ref="A45:D45"/>
    <mergeCell ref="E50:F50"/>
    <mergeCell ref="G50:H50"/>
    <mergeCell ref="I50:K50"/>
    <mergeCell ref="A47:V47"/>
    <mergeCell ref="A48:V48"/>
    <mergeCell ref="I49:K49"/>
    <mergeCell ref="N50:O50"/>
    <mergeCell ref="R49:V49"/>
    <mergeCell ref="N45:O45"/>
    <mergeCell ref="R45:V45"/>
    <mergeCell ref="N46:O46"/>
    <mergeCell ref="R46:V46"/>
    <mergeCell ref="N49:O49"/>
    <mergeCell ref="E45:F45"/>
    <mergeCell ref="G45:H45"/>
    <mergeCell ref="I45:K45"/>
    <mergeCell ref="A42:V42"/>
    <mergeCell ref="A43:V43"/>
    <mergeCell ref="B44:D44"/>
    <mergeCell ref="E44:F44"/>
    <mergeCell ref="G44:H44"/>
    <mergeCell ref="I44:K44"/>
    <mergeCell ref="R44:V44"/>
    <mergeCell ref="A41:D41"/>
    <mergeCell ref="E41:F41"/>
    <mergeCell ref="G41:H41"/>
    <mergeCell ref="I41:K41"/>
    <mergeCell ref="N40:O40"/>
    <mergeCell ref="R40:V40"/>
    <mergeCell ref="N41:O41"/>
    <mergeCell ref="R41:V41"/>
    <mergeCell ref="A40:D40"/>
    <mergeCell ref="E40:F40"/>
    <mergeCell ref="G40:H40"/>
    <mergeCell ref="I40:K40"/>
    <mergeCell ref="A38:V38"/>
    <mergeCell ref="B39:D39"/>
    <mergeCell ref="E39:F39"/>
    <mergeCell ref="G39:H39"/>
    <mergeCell ref="I39:K39"/>
    <mergeCell ref="N39:O39"/>
    <mergeCell ref="R39:V39"/>
    <mergeCell ref="A37:D37"/>
    <mergeCell ref="E37:F37"/>
    <mergeCell ref="G37:H37"/>
    <mergeCell ref="I37:K37"/>
    <mergeCell ref="N37:O37"/>
    <mergeCell ref="R37:V37"/>
    <mergeCell ref="N36:O36"/>
    <mergeCell ref="R36:V36"/>
    <mergeCell ref="B36:D36"/>
    <mergeCell ref="E36:F36"/>
    <mergeCell ref="G36:H36"/>
    <mergeCell ref="I36:K36"/>
    <mergeCell ref="B31:D31"/>
    <mergeCell ref="E31:F31"/>
    <mergeCell ref="N33:O33"/>
    <mergeCell ref="R33:V33"/>
    <mergeCell ref="A32:D32"/>
    <mergeCell ref="E32:F32"/>
    <mergeCell ref="G32:H32"/>
    <mergeCell ref="I32:K32"/>
    <mergeCell ref="N32:O32"/>
    <mergeCell ref="R32:V32"/>
    <mergeCell ref="A34:V34"/>
    <mergeCell ref="A35:V35"/>
    <mergeCell ref="A33:D33"/>
    <mergeCell ref="E33:F33"/>
    <mergeCell ref="G33:H33"/>
    <mergeCell ref="I33:K33"/>
    <mergeCell ref="A28:D28"/>
    <mergeCell ref="E28:F28"/>
    <mergeCell ref="N31:O31"/>
    <mergeCell ref="R31:V31"/>
    <mergeCell ref="I30:K30"/>
    <mergeCell ref="N30:O30"/>
    <mergeCell ref="G31:H31"/>
    <mergeCell ref="I31:K31"/>
    <mergeCell ref="R30:V30"/>
    <mergeCell ref="R28:V28"/>
    <mergeCell ref="G25:H25"/>
    <mergeCell ref="I25:K25"/>
    <mergeCell ref="N28:O28"/>
    <mergeCell ref="N25:O25"/>
    <mergeCell ref="G28:H28"/>
    <mergeCell ref="I28:K28"/>
    <mergeCell ref="A29:V29"/>
    <mergeCell ref="B30:D30"/>
    <mergeCell ref="E30:F30"/>
    <mergeCell ref="G30:H30"/>
    <mergeCell ref="R25:V25"/>
    <mergeCell ref="A26:V26"/>
    <mergeCell ref="B27:D27"/>
    <mergeCell ref="E27:F27"/>
    <mergeCell ref="I27:K27"/>
    <mergeCell ref="N27:O27"/>
    <mergeCell ref="R27:V27"/>
    <mergeCell ref="G27:H27"/>
    <mergeCell ref="A25:D25"/>
    <mergeCell ref="E25:F25"/>
    <mergeCell ref="A23:V23"/>
    <mergeCell ref="B24:D24"/>
    <mergeCell ref="E24:F24"/>
    <mergeCell ref="G24:H24"/>
    <mergeCell ref="I24:K24"/>
    <mergeCell ref="N24:O24"/>
    <mergeCell ref="R24:V24"/>
    <mergeCell ref="N21:O21"/>
    <mergeCell ref="R21:V21"/>
    <mergeCell ref="A22:D22"/>
    <mergeCell ref="E22:F22"/>
    <mergeCell ref="G22:H22"/>
    <mergeCell ref="I22:K22"/>
    <mergeCell ref="N22:O22"/>
    <mergeCell ref="R22:V22"/>
    <mergeCell ref="B21:D21"/>
    <mergeCell ref="E21:F21"/>
    <mergeCell ref="N18:O18"/>
    <mergeCell ref="R18:V18"/>
    <mergeCell ref="A19:V19"/>
    <mergeCell ref="A20:V20"/>
    <mergeCell ref="A18:D18"/>
    <mergeCell ref="E18:F18"/>
    <mergeCell ref="G18:H18"/>
    <mergeCell ref="I18:K18"/>
    <mergeCell ref="B16:D16"/>
    <mergeCell ref="E16:F16"/>
    <mergeCell ref="A17:D17"/>
    <mergeCell ref="E17:F17"/>
    <mergeCell ref="G21:H21"/>
    <mergeCell ref="I21:K21"/>
    <mergeCell ref="N15:O15"/>
    <mergeCell ref="R15:V15"/>
    <mergeCell ref="N16:O16"/>
    <mergeCell ref="R16:V16"/>
    <mergeCell ref="G17:H17"/>
    <mergeCell ref="I17:K17"/>
    <mergeCell ref="G16:H16"/>
    <mergeCell ref="I16:K16"/>
    <mergeCell ref="N17:O17"/>
    <mergeCell ref="R17:V17"/>
    <mergeCell ref="B14:D14"/>
    <mergeCell ref="E14:F14"/>
    <mergeCell ref="G14:H14"/>
    <mergeCell ref="I14:K14"/>
    <mergeCell ref="N14:O14"/>
    <mergeCell ref="R14:V14"/>
    <mergeCell ref="B15:D15"/>
    <mergeCell ref="E15:F15"/>
    <mergeCell ref="A12:V12"/>
    <mergeCell ref="B13:D13"/>
    <mergeCell ref="E13:F13"/>
    <mergeCell ref="G13:H13"/>
    <mergeCell ref="I13:K13"/>
    <mergeCell ref="N13:O13"/>
    <mergeCell ref="G15:H15"/>
    <mergeCell ref="I15:K15"/>
    <mergeCell ref="R13:V13"/>
    <mergeCell ref="N9:O9"/>
    <mergeCell ref="I9:K9"/>
    <mergeCell ref="N11:O11"/>
    <mergeCell ref="R9:V9"/>
    <mergeCell ref="R11:V11"/>
    <mergeCell ref="N10:O10"/>
    <mergeCell ref="R10:V10"/>
    <mergeCell ref="G11:H11"/>
    <mergeCell ref="I11:K11"/>
    <mergeCell ref="B10:D10"/>
    <mergeCell ref="E10:F10"/>
    <mergeCell ref="G10:H10"/>
    <mergeCell ref="I10:K10"/>
    <mergeCell ref="A11:D11"/>
    <mergeCell ref="E11:F11"/>
    <mergeCell ref="B9:D9"/>
    <mergeCell ref="E9:F9"/>
    <mergeCell ref="G9:H9"/>
    <mergeCell ref="A7:V7"/>
    <mergeCell ref="B8:D8"/>
    <mergeCell ref="E8:F8"/>
    <mergeCell ref="G8:H8"/>
    <mergeCell ref="I8:K8"/>
    <mergeCell ref="N8:O8"/>
    <mergeCell ref="R8:V8"/>
    <mergeCell ref="N6:O6"/>
    <mergeCell ref="R6:V6"/>
    <mergeCell ref="A6:D6"/>
    <mergeCell ref="E6:F6"/>
    <mergeCell ref="G6:H6"/>
    <mergeCell ref="I6:K6"/>
    <mergeCell ref="R5:V5"/>
    <mergeCell ref="A4:V4"/>
    <mergeCell ref="B5:D5"/>
    <mergeCell ref="E5:F5"/>
    <mergeCell ref="G5:H5"/>
    <mergeCell ref="I5:K5"/>
    <mergeCell ref="N5:O5"/>
    <mergeCell ref="A2:B2"/>
    <mergeCell ref="A3:V3"/>
    <mergeCell ref="B1:D1"/>
    <mergeCell ref="E1:F1"/>
    <mergeCell ref="G1:H1"/>
    <mergeCell ref="I1:K1"/>
    <mergeCell ref="N1:O1"/>
    <mergeCell ref="R1:V1"/>
  </mergeCells>
  <printOptions/>
  <pageMargins left="1.17" right="0.75" top="1.24" bottom="1" header="0.72" footer="0.4921259845"/>
  <pageSetup firstPageNumber="11" useFirstPageNumber="1" horizontalDpi="600" verticalDpi="600" orientation="portrait" paperSize="9" scale="68" r:id="rId1"/>
  <headerFooter alignWithMargins="0">
    <oddHeader>&amp;C&amp;"Arial,Tučné"&amp;12Schválený rozpočet rok 2013 - velké opravy &amp;R&amp;"Arial,Tučné"Příloha č. 6</oddHeader>
    <oddFooter>&amp;C&amp;P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mmol</dc:creator>
  <cp:keywords/>
  <dc:description/>
  <cp:lastModifiedBy>mmol</cp:lastModifiedBy>
  <cp:lastPrinted>2013-01-16T12:47:58Z</cp:lastPrinted>
  <dcterms:created xsi:type="dcterms:W3CDTF">2012-11-01T09:29:20Z</dcterms:created>
  <dcterms:modified xsi:type="dcterms:W3CDTF">2013-06-12T09:42:05Z</dcterms:modified>
  <cp:category/>
  <cp:version/>
  <cp:contentType/>
  <cp:contentStatus/>
</cp:coreProperties>
</file>